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dmus.sharepoint.com/sites/CP1439/Shared Documents/Working Documents/NYC Documents/TA Task Documents/Operational Cost Tool/Operational Cost Model/"/>
    </mc:Choice>
  </mc:AlternateContent>
  <xr:revisionPtr revIDLastSave="245" documentId="8_{BDBA2C66-2FDB-4CFA-AE6B-4AA7D57C0348}" xr6:coauthVersionLast="36" xr6:coauthVersionMax="36" xr10:uidLastSave="{AD38A41A-5A61-40C2-8956-A5E603B3B9D8}"/>
  <bookViews>
    <workbookView xWindow="0" yWindow="0" windowWidth="28800" windowHeight="12225" xr2:uid="{79182A2D-4E76-4D49-8B89-8B7184E882B2}"/>
  </bookViews>
  <sheets>
    <sheet name="Energy Savings Calculator" sheetId="5" r:id="rId1"/>
    <sheet name="Calculations" sheetId="8" state="hidden" r:id="rId2"/>
    <sheet name="Equations" sheetId="7" state="hidden" r:id="rId3"/>
    <sheet name="Lists &amp; Data" sheetId="1" state="hidden" r:id="rId4"/>
  </sheets>
  <definedNames>
    <definedName name="size" localSheetId="1">Calculations!#REF!</definedName>
    <definedName name="size">#REF!</definedName>
    <definedName name="sizea" localSheetId="1">Calculations!$E$23</definedName>
    <definedName name="sizea">#REF!</definedName>
    <definedName name="sizec" localSheetId="1">Calculations!$E$17</definedName>
    <definedName name="sizec">#REF!</definedName>
    <definedName name="sizeh" localSheetId="1">Calculations!#REF!</definedName>
    <definedName name="sizeh">#REF!</definedName>
    <definedName name="units" localSheetId="1">Calculations!#REF!</definedName>
    <definedName name="unit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5" i="8" l="1"/>
  <c r="E24" i="8"/>
  <c r="B37" i="1"/>
  <c r="Y28" i="5" l="1"/>
  <c r="O27" i="5"/>
  <c r="Y27" i="5"/>
  <c r="O33" i="5"/>
  <c r="O32" i="5"/>
  <c r="O26" i="5"/>
  <c r="D5" i="8" l="1"/>
  <c r="E5" i="8" s="1"/>
  <c r="P96" i="8"/>
  <c r="P99" i="8" s="1"/>
  <c r="M41" i="8"/>
  <c r="L23" i="8"/>
  <c r="E23" i="8" s="1"/>
  <c r="N49" i="8"/>
  <c r="O24" i="8" s="1"/>
  <c r="N48" i="8"/>
  <c r="N47" i="8"/>
  <c r="L49" i="8"/>
  <c r="O23" i="8" s="1"/>
  <c r="L48" i="8"/>
  <c r="L47" i="8"/>
  <c r="C41" i="8"/>
  <c r="O116" i="8"/>
  <c r="M120" i="8" s="1"/>
  <c r="Q68" i="8"/>
  <c r="M68" i="8"/>
  <c r="N68" i="8" s="1"/>
  <c r="K68" i="8" s="1"/>
  <c r="L68" i="8"/>
  <c r="Q67" i="8"/>
  <c r="M67" i="8"/>
  <c r="N67" i="8" s="1"/>
  <c r="K67" i="8" s="1"/>
  <c r="L67" i="8"/>
  <c r="P66" i="8"/>
  <c r="Q66" i="8"/>
  <c r="M66" i="8"/>
  <c r="N66" i="8" s="1"/>
  <c r="K66" i="8" s="1"/>
  <c r="L66" i="8"/>
  <c r="M62" i="8"/>
  <c r="M61" i="8"/>
  <c r="Q39" i="8"/>
  <c r="Q38" i="8"/>
  <c r="N42" i="8"/>
  <c r="M42" i="8"/>
  <c r="L42" i="8"/>
  <c r="K42" i="8"/>
  <c r="N41" i="8"/>
  <c r="L41" i="8"/>
  <c r="K41" i="8"/>
  <c r="N40" i="8"/>
  <c r="M40" i="8"/>
  <c r="L40" i="8"/>
  <c r="K40" i="8"/>
  <c r="F27" i="8"/>
  <c r="F26" i="8"/>
  <c r="F25" i="8"/>
  <c r="F24" i="8"/>
  <c r="L24" i="8"/>
  <c r="F19" i="8"/>
  <c r="E16" i="8"/>
  <c r="D62" i="8" s="1"/>
  <c r="L20" i="8"/>
  <c r="E15" i="8"/>
  <c r="L19" i="8"/>
  <c r="F13" i="8"/>
  <c r="O55" i="8" s="1"/>
  <c r="E12" i="8"/>
  <c r="D55" i="8" s="1"/>
  <c r="D58" i="8" s="1"/>
  <c r="N13" i="8"/>
  <c r="M13" i="8"/>
  <c r="L13" i="8"/>
  <c r="N12" i="8"/>
  <c r="M12" i="8"/>
  <c r="L12" i="8"/>
  <c r="N11" i="8"/>
  <c r="M11" i="8"/>
  <c r="L11" i="8"/>
  <c r="E6" i="8"/>
  <c r="L10" i="8"/>
  <c r="P18" i="1"/>
  <c r="N15" i="1"/>
  <c r="N14" i="1"/>
  <c r="N13" i="1"/>
  <c r="N12" i="1"/>
  <c r="N11" i="1"/>
  <c r="N10" i="1"/>
  <c r="N9" i="1"/>
  <c r="N8" i="1"/>
  <c r="N7" i="1"/>
  <c r="N6" i="1"/>
  <c r="N5" i="1"/>
  <c r="E17" i="8" l="1"/>
  <c r="D63" i="8" s="1"/>
  <c r="H27" i="5"/>
  <c r="E27" i="8"/>
  <c r="P82" i="8" s="1"/>
  <c r="P83" i="8" s="1"/>
  <c r="G62" i="8" s="1"/>
  <c r="L120" i="8"/>
  <c r="O7" i="8"/>
  <c r="L7" i="8" s="1"/>
  <c r="E8" i="8" s="1"/>
  <c r="H14" i="5" s="1"/>
  <c r="O6" i="8"/>
  <c r="L6" i="8" s="1"/>
  <c r="E7" i="8" s="1"/>
  <c r="D54" i="8" s="1"/>
  <c r="G74" i="8" s="1"/>
  <c r="E19" i="8"/>
  <c r="H21" i="5" s="1"/>
  <c r="D61" i="8"/>
  <c r="D67" i="8" s="1"/>
  <c r="E13" i="8"/>
  <c r="G54" i="8"/>
  <c r="G66" i="8"/>
  <c r="E26" i="8"/>
  <c r="E25" i="8"/>
  <c r="N82" i="8"/>
  <c r="O82" i="8" s="1"/>
  <c r="E18" i="8" l="1"/>
  <c r="E20" i="8" s="1"/>
  <c r="P84" i="8"/>
  <c r="G61" i="8"/>
  <c r="G63" i="8" s="1"/>
  <c r="G64" i="8" s="1"/>
  <c r="H31" i="5"/>
  <c r="G57" i="8"/>
  <c r="G58" i="8"/>
  <c r="H12" i="5"/>
  <c r="D64" i="8"/>
  <c r="Q61" i="8"/>
  <c r="Q62" i="8" s="1"/>
  <c r="Q63" i="8" s="1"/>
  <c r="D65" i="8" s="1"/>
  <c r="D66" i="8" s="1"/>
  <c r="H19" i="5"/>
  <c r="P55" i="8"/>
  <c r="D56" i="8" s="1"/>
  <c r="D57" i="8" s="1"/>
  <c r="D60" i="8"/>
  <c r="H29" i="5"/>
  <c r="G60" i="8"/>
  <c r="G77" i="8" s="1"/>
  <c r="O83" i="8"/>
  <c r="O84" i="8" s="1"/>
  <c r="H23" i="5"/>
  <c r="D68" i="8"/>
  <c r="H33" i="5"/>
  <c r="G65" i="8"/>
  <c r="G78" i="8" s="1"/>
  <c r="F78" i="8" l="1"/>
  <c r="D78" i="8" s="1"/>
  <c r="D97" i="8" s="1"/>
  <c r="D108" i="8" s="1"/>
  <c r="F108" i="8" s="1"/>
  <c r="U31" i="5" s="1"/>
  <c r="G75" i="8"/>
  <c r="F75" i="8" s="1"/>
  <c r="G59" i="8"/>
  <c r="G56" i="8" s="1"/>
  <c r="F77" i="8" s="1"/>
  <c r="F74" i="8"/>
  <c r="E74" i="8" s="1"/>
  <c r="L118" i="8" s="1"/>
  <c r="G79" i="8"/>
  <c r="F79" i="8" s="1"/>
  <c r="F97" i="8"/>
  <c r="AE31" i="5" s="1"/>
  <c r="G80" i="8" l="1"/>
  <c r="F93" i="8"/>
  <c r="AE27" i="5" s="1"/>
  <c r="M117" i="8"/>
  <c r="M119" i="8" s="1"/>
  <c r="M121" i="8" s="1"/>
  <c r="D79" i="8"/>
  <c r="D98" i="8" s="1"/>
  <c r="D109" i="8" s="1"/>
  <c r="L117" i="8"/>
  <c r="L119" i="8" s="1"/>
  <c r="L121" i="8" s="1"/>
  <c r="D74" i="8"/>
  <c r="D93" i="8" s="1"/>
  <c r="D104" i="8" s="1"/>
  <c r="L106" i="8"/>
  <c r="E93" i="8"/>
  <c r="E95" i="8" s="1"/>
  <c r="D75" i="8"/>
  <c r="D94" i="8" s="1"/>
  <c r="F94" i="8"/>
  <c r="AE28" i="5" s="1"/>
  <c r="F98" i="8"/>
  <c r="AE32" i="5" s="1"/>
  <c r="E79" i="8"/>
  <c r="M118" i="8" s="1"/>
  <c r="F96" i="8"/>
  <c r="D77" i="8"/>
  <c r="D96" i="8" s="1"/>
  <c r="F80" i="8" l="1"/>
  <c r="F99" i="8" s="1"/>
  <c r="AE33" i="5" s="1"/>
  <c r="G35" i="5"/>
  <c r="AE26" i="5"/>
  <c r="D105" i="8"/>
  <c r="D95" i="8"/>
  <c r="M106" i="8"/>
  <c r="E98" i="8"/>
  <c r="E100" i="8" s="1"/>
  <c r="F116" i="8" s="1"/>
  <c r="F95" i="8"/>
  <c r="AE30" i="5"/>
  <c r="D107" i="8"/>
  <c r="L108" i="8"/>
  <c r="L110" i="8"/>
  <c r="L109" i="8"/>
  <c r="AE25" i="5"/>
  <c r="D80" i="8" l="1"/>
  <c r="D99" i="8" s="1"/>
  <c r="D110" i="8" s="1"/>
  <c r="F110" i="8" s="1"/>
  <c r="U33" i="5" s="1"/>
  <c r="F100" i="8"/>
  <c r="AE34" i="5" s="1"/>
  <c r="L112" i="8"/>
  <c r="E104" i="8" s="1"/>
  <c r="M109" i="8"/>
  <c r="M108" i="8"/>
  <c r="M110" i="8"/>
  <c r="AE29" i="5"/>
  <c r="F107" i="8"/>
  <c r="U30" i="5" s="1"/>
  <c r="F105" i="8"/>
  <c r="U27" i="5" s="1"/>
  <c r="D106" i="8"/>
  <c r="F115" i="8" l="1"/>
  <c r="D111" i="8"/>
  <c r="D100" i="8"/>
  <c r="F114" i="8" s="1"/>
  <c r="M112" i="8"/>
  <c r="E109" i="8" s="1"/>
  <c r="F104" i="8"/>
  <c r="U26" i="5" s="1"/>
  <c r="E106" i="8"/>
  <c r="F106" i="8" s="1"/>
  <c r="U28" i="5" l="1"/>
  <c r="F109" i="8"/>
  <c r="U32" i="5" s="1"/>
  <c r="E111" i="8"/>
  <c r="F111" i="8" s="1"/>
  <c r="U34" i="5" s="1"/>
  <c r="U38" i="5" l="1"/>
  <c r="F117" i="8"/>
  <c r="U40" i="5" l="1"/>
  <c r="U39" i="5"/>
  <c r="O1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Divij Rajesh</author>
  </authors>
  <commentList>
    <comment ref="N93" authorId="0" shapeId="0" xr:uid="{7A8D0604-E0FC-471C-919B-7CAF2847B03C}">
      <text>
        <r>
          <rPr>
            <b/>
            <sz val="9"/>
            <color indexed="81"/>
            <rFont val="Tahoma"/>
            <family val="2"/>
          </rPr>
          <t>Divij Rajesh:</t>
        </r>
        <r>
          <rPr>
            <sz val="9"/>
            <color indexed="81"/>
            <rFont val="Tahoma"/>
            <family val="2"/>
          </rPr>
          <t xml:space="preserve">
Delivery = Demand
2015-17 Average values used &lt;-- True for all values in this column</t>
        </r>
      </text>
    </comment>
    <comment ref="L108" authorId="0" shapeId="0" xr:uid="{0338F65E-8BD1-4970-9C30-EFDD7CE98A7A}">
      <text>
        <r>
          <rPr>
            <b/>
            <sz val="9"/>
            <color indexed="81"/>
            <rFont val="Tahoma"/>
            <family val="2"/>
          </rPr>
          <t>Divij Rajesh:</t>
        </r>
        <r>
          <rPr>
            <sz val="9"/>
            <color indexed="81"/>
            <rFont val="Tahoma"/>
            <family val="2"/>
          </rPr>
          <t xml:space="preserve">
Assumes more than 3 therms are used for all 12 months</t>
        </r>
      </text>
    </comment>
    <comment ref="M108" authorId="0" shapeId="0" xr:uid="{36A7AC04-DD4E-46C1-AB07-F3199358657B}">
      <text>
        <r>
          <rPr>
            <b/>
            <sz val="9"/>
            <color indexed="81"/>
            <rFont val="Tahoma"/>
            <family val="2"/>
          </rPr>
          <t>Divij Rajesh:</t>
        </r>
        <r>
          <rPr>
            <sz val="9"/>
            <color indexed="81"/>
            <rFont val="Tahoma"/>
            <family val="2"/>
          </rPr>
          <t xml:space="preserve">
Assumes more than 3 therms are used for all 12 months</t>
        </r>
      </text>
    </comment>
  </commentList>
</comments>
</file>

<file path=xl/sharedStrings.xml><?xml version="1.0" encoding="utf-8"?>
<sst xmlns="http://schemas.openxmlformats.org/spreadsheetml/2006/main" count="518" uniqueCount="317">
  <si>
    <t>Required User Inputs</t>
  </si>
  <si>
    <t>Default Inputs</t>
  </si>
  <si>
    <t>Override Inputs (Contractor Use Only)</t>
  </si>
  <si>
    <t>Your Results</t>
  </si>
  <si>
    <t>Home Information:</t>
  </si>
  <si>
    <t>Building type</t>
  </si>
  <si>
    <t>Single family detached</t>
  </si>
  <si>
    <t>Home heating load (mmBtu)</t>
  </si>
  <si>
    <t>Building age</t>
  </si>
  <si>
    <t>Old</t>
  </si>
  <si>
    <t>Home cooling load (mmBtu)</t>
  </si>
  <si>
    <t>Existing heating and cooling specifications:</t>
  </si>
  <si>
    <t>Heating fuel</t>
  </si>
  <si>
    <t>Natural gas</t>
  </si>
  <si>
    <t>Efficiency (AFUE)</t>
  </si>
  <si>
    <t>Cooling type</t>
  </si>
  <si>
    <t>Central AC</t>
  </si>
  <si>
    <t>Cooling Units (#)</t>
  </si>
  <si>
    <t>Percent of Cooling Load Served</t>
  </si>
  <si>
    <t>Energy Consumption</t>
  </si>
  <si>
    <t>ASHP installation specifications:</t>
  </si>
  <si>
    <t>Energy Costs</t>
  </si>
  <si>
    <t>System type</t>
  </si>
  <si>
    <t>Ductless Mini Split</t>
  </si>
  <si>
    <t>Total Baseline Energy Costs  ($)</t>
  </si>
  <si>
    <t>System efficiency</t>
  </si>
  <si>
    <t>High</t>
  </si>
  <si>
    <t>ASHP Heating Costs ($)</t>
  </si>
  <si>
    <t>% Cooling Load Served</t>
  </si>
  <si>
    <t>ASHP Cooling Costs ($)</t>
  </si>
  <si>
    <t>% Heating Load Displaced</t>
  </si>
  <si>
    <t>Total Energy Costs with ASHP ($)</t>
  </si>
  <si>
    <t>Data used in Calculations</t>
  </si>
  <si>
    <t>Reference / Background Data</t>
  </si>
  <si>
    <t>Inputs</t>
  </si>
  <si>
    <t>Assumed Inputs</t>
  </si>
  <si>
    <t>(Only used if user does not input own values)</t>
  </si>
  <si>
    <t>Site Specifications</t>
  </si>
  <si>
    <t>Total Home Load (mmbtu)</t>
  </si>
  <si>
    <t>Load Scaling Coefficients</t>
  </si>
  <si>
    <t>Total Home Heating Load</t>
  </si>
  <si>
    <t>Heating Load Scalar</t>
  </si>
  <si>
    <t>Total Home Cooling Load</t>
  </si>
  <si>
    <t>Cooling Load Scalar</t>
  </si>
  <si>
    <t>Total home heating load (mmbtu)</t>
  </si>
  <si>
    <t>Total home cooling load (mmbtu)</t>
  </si>
  <si>
    <t>Heating</t>
  </si>
  <si>
    <t>Fuel Type</t>
  </si>
  <si>
    <t>Fuel Oil</t>
  </si>
  <si>
    <t>Electric resistance</t>
  </si>
  <si>
    <t>Baseline Specifications</t>
  </si>
  <si>
    <t>AFUE</t>
  </si>
  <si>
    <t>Heating Specs</t>
  </si>
  <si>
    <t>HSPF</t>
  </si>
  <si>
    <t>Fuel type</t>
  </si>
  <si>
    <t>Losses</t>
  </si>
  <si>
    <t>Cooling Specs</t>
  </si>
  <si>
    <t>Cooling</t>
  </si>
  <si>
    <t>AC Type</t>
  </si>
  <si>
    <t>Window AC</t>
  </si>
  <si>
    <t># of units</t>
  </si>
  <si>
    <t>Number of Units</t>
  </si>
  <si>
    <t>Capacity (tons)</t>
  </si>
  <si>
    <t>Capacity</t>
  </si>
  <si>
    <t>Total Capacity (tons)</t>
  </si>
  <si>
    <t>SEER</t>
  </si>
  <si>
    <t>ASHP (Used in Model)</t>
  </si>
  <si>
    <t>% Displaced</t>
  </si>
  <si>
    <t>Tons:</t>
  </si>
  <si>
    <t>Air Source Heat Pump (ASHP) Specifications</t>
  </si>
  <si>
    <t>% Cooling Load Displaced</t>
  </si>
  <si>
    <t>COP</t>
  </si>
  <si>
    <t>ASHP Entry</t>
  </si>
  <si>
    <t>Tons</t>
  </si>
  <si>
    <t>Efficiency</t>
  </si>
  <si>
    <t>Central ASHP</t>
  </si>
  <si>
    <t>Moderate</t>
  </si>
  <si>
    <t>Highest</t>
  </si>
  <si>
    <t>Conversion Factors</t>
  </si>
  <si>
    <t>Weather Data</t>
  </si>
  <si>
    <t>ton =</t>
  </si>
  <si>
    <t>BTU/hr</t>
  </si>
  <si>
    <t>Equivalent Full Load Hours (EFLH)</t>
  </si>
  <si>
    <t>Source: NY Standard Estimation Approach</t>
  </si>
  <si>
    <t>BTU =</t>
  </si>
  <si>
    <t>Joule</t>
  </si>
  <si>
    <t>LaGuardia AP</t>
  </si>
  <si>
    <t>TMY3 Data</t>
  </si>
  <si>
    <t>kWh =</t>
  </si>
  <si>
    <t>BTU</t>
  </si>
  <si>
    <t>Vintage</t>
  </si>
  <si>
    <t>EFLHC</t>
  </si>
  <si>
    <t>EFLHH</t>
  </si>
  <si>
    <t xml:space="preserve">T Set Point </t>
  </si>
  <si>
    <t>mmBTU =</t>
  </si>
  <si>
    <t>CDD 65</t>
  </si>
  <si>
    <t>Therm =</t>
  </si>
  <si>
    <t>mmBTU</t>
  </si>
  <si>
    <t>Average</t>
  </si>
  <si>
    <t>HDD 65</t>
  </si>
  <si>
    <t>Diesel Gallon =</t>
  </si>
  <si>
    <t>New</t>
  </si>
  <si>
    <t>Cooling DBT 1%</t>
  </si>
  <si>
    <t>1 Fuel Oil #2 gallon =</t>
  </si>
  <si>
    <t>mmBtu</t>
  </si>
  <si>
    <t>Heating DBT 99%</t>
  </si>
  <si>
    <t>Joule =</t>
  </si>
  <si>
    <t>Watt-second</t>
  </si>
  <si>
    <t>CLH</t>
  </si>
  <si>
    <t>Watt-second =</t>
  </si>
  <si>
    <t>HLH</t>
  </si>
  <si>
    <t>Degree Day =</t>
  </si>
  <si>
    <t>Degree Hour</t>
  </si>
  <si>
    <t> MMBTU/Yr for single family residential home in NYC</t>
  </si>
  <si>
    <t>Total Site Thermal Load</t>
  </si>
  <si>
    <t xml:space="preserve">       68.44 </t>
  </si>
  <si>
    <t xml:space="preserve">       13.97 </t>
  </si>
  <si>
    <t>CITE: NYSERDA RENEWABLE HEATING AND COOLING FRAMEWORK</t>
  </si>
  <si>
    <t>Load Served - 5 ton ASHP w/ integrated ER backup</t>
  </si>
  <si>
    <t>% Load Served</t>
  </si>
  <si>
    <t>Load Served - 3 ton ASHP</t>
  </si>
  <si>
    <t xml:space="preserve">       65.81 </t>
  </si>
  <si>
    <t>% Served</t>
  </si>
  <si>
    <t>Load Served - 1.5 ton ASHP</t>
  </si>
  <si>
    <t xml:space="preserve">       25.66 </t>
  </si>
  <si>
    <t xml:space="preserve">         5.24 </t>
  </si>
  <si>
    <t>Chosen Performance Metrics</t>
  </si>
  <si>
    <t>All Performance Metrics</t>
  </si>
  <si>
    <t>Baseline Heating and Cooling</t>
  </si>
  <si>
    <t>ASHP Heating and Cooling</t>
  </si>
  <si>
    <t>Alternative Fuel Metrics</t>
  </si>
  <si>
    <t>Heating Load</t>
  </si>
  <si>
    <t>ASHP Capacity</t>
  </si>
  <si>
    <t>Rated COP</t>
  </si>
  <si>
    <t>Actual COP</t>
  </si>
  <si>
    <t>Fuel oil</t>
  </si>
  <si>
    <t>Rated HSPF</t>
  </si>
  <si>
    <t>% decrease</t>
  </si>
  <si>
    <t>Actual HSPF</t>
  </si>
  <si>
    <t>AC SEER</t>
  </si>
  <si>
    <t>Cooling Load</t>
  </si>
  <si>
    <t>% Heating Displaced</t>
  </si>
  <si>
    <t>Rated</t>
  </si>
  <si>
    <t>Actual</t>
  </si>
  <si>
    <t>% Decrease</t>
  </si>
  <si>
    <t>Contractor AC Entry Conversion</t>
  </si>
  <si>
    <t>Rated SEER</t>
  </si>
  <si>
    <t>Entry</t>
  </si>
  <si>
    <t>Actual SEER</t>
  </si>
  <si>
    <t>ASHP</t>
  </si>
  <si>
    <t>% Cooling Served</t>
  </si>
  <si>
    <t>ASHP Losses</t>
  </si>
  <si>
    <t xml:space="preserve">Florida Solar Energy Center Method </t>
  </si>
  <si>
    <t>Load Calculations</t>
  </si>
  <si>
    <t>HSPF equation (heating)</t>
  </si>
  <si>
    <t>SEER regresssion (cooling)</t>
  </si>
  <si>
    <t>Input</t>
  </si>
  <si>
    <t>Output</t>
  </si>
  <si>
    <r>
      <t>-%Δ = a + b*T + c*T^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+ d*HSPF</t>
    </r>
  </si>
  <si>
    <t>-%Δ = a + b*Temp + c*SEER</t>
  </si>
  <si>
    <t>(kWh)</t>
  </si>
  <si>
    <t>therms</t>
  </si>
  <si>
    <t xml:space="preserve"> (mmBTU)</t>
  </si>
  <si>
    <t>(mmBTU)</t>
  </si>
  <si>
    <t>Coeff:</t>
  </si>
  <si>
    <r>
      <t>HSPF</t>
    </r>
    <r>
      <rPr>
        <sz val="8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 xml:space="preserve"> &lt; 8.5</t>
    </r>
  </si>
  <si>
    <r>
      <t>HSPF</t>
    </r>
    <r>
      <rPr>
        <sz val="8"/>
        <color rgb="FF000000"/>
        <rFont val="Calibri"/>
        <family val="2"/>
      </rPr>
      <t xml:space="preserve">r </t>
    </r>
    <r>
      <rPr>
        <sz val="11"/>
        <color rgb="FF000000"/>
        <rFont val="Calibri"/>
        <family val="2"/>
      </rPr>
      <t>=&gt; 8.5</t>
    </r>
  </si>
  <si>
    <r>
      <t>SEER</t>
    </r>
    <r>
      <rPr>
        <sz val="8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 xml:space="preserve"> &lt; 13.5</t>
    </r>
  </si>
  <si>
    <r>
      <t>SEER</t>
    </r>
    <r>
      <rPr>
        <sz val="8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 xml:space="preserve"> =&gt; 13.5</t>
    </r>
  </si>
  <si>
    <t>Baseline Heating</t>
  </si>
  <si>
    <t>a =</t>
  </si>
  <si>
    <t>Baseline Cooling</t>
  </si>
  <si>
    <t>b =</t>
  </si>
  <si>
    <t>c =</t>
  </si>
  <si>
    <t>ASHP Heating</t>
  </si>
  <si>
    <t>d =</t>
  </si>
  <si>
    <t>R-Square =</t>
  </si>
  <si>
    <t>ASHP Cooling</t>
  </si>
  <si>
    <t>where: T = ASHRAE design T @ 1% (SEER), 99% (HSPF)</t>
  </si>
  <si>
    <t>Residual Heating</t>
  </si>
  <si>
    <t>Residual Cooling</t>
  </si>
  <si>
    <t>Building America House Simulation Protocols</t>
  </si>
  <si>
    <t>EER → SEER</t>
  </si>
  <si>
    <t>HSPF/EER</t>
  </si>
  <si>
    <t>Summary - Energy Usage and Cost</t>
  </si>
  <si>
    <t>Energy Costs Derivation</t>
  </si>
  <si>
    <t>Energy Usage</t>
  </si>
  <si>
    <t>ConEd Electric Service Classification Rates for Residential/Religious Buildings</t>
  </si>
  <si>
    <t>ConEd Electric Average Full Service Electric Rates</t>
  </si>
  <si>
    <t>Summary</t>
  </si>
  <si>
    <t>Rate 1</t>
  </si>
  <si>
    <t>Supply Charge</t>
  </si>
  <si>
    <t>Customer Charge</t>
  </si>
  <si>
    <t>Average Delivery</t>
  </si>
  <si>
    <t>Monthly Charge</t>
  </si>
  <si>
    <t>/month</t>
  </si>
  <si>
    <t>Average Commodity</t>
  </si>
  <si>
    <t>Baseline Total</t>
  </si>
  <si>
    <t>Energy Delivery Charge</t>
  </si>
  <si>
    <t>Average Surcharges</t>
  </si>
  <si>
    <t>June - September</t>
  </si>
  <si>
    <t>Ratio</t>
  </si>
  <si>
    <t>First 250 KWH</t>
  </si>
  <si>
    <t>/KWH</t>
  </si>
  <si>
    <t>Over 250 KWH</t>
  </si>
  <si>
    <t>October - May (All other months)</t>
  </si>
  <si>
    <t>Average Rate</t>
  </si>
  <si>
    <t>ASHP + Residual</t>
  </si>
  <si>
    <t>All KWH</t>
  </si>
  <si>
    <t>Additional Delivery Charges and Adjustments</t>
  </si>
  <si>
    <t>kWh</t>
  </si>
  <si>
    <t>Therms</t>
  </si>
  <si>
    <t>Totals</t>
  </si>
  <si>
    <t>See General Rule 26</t>
  </si>
  <si>
    <t>$</t>
  </si>
  <si>
    <t>Alternative Fuel Cost Calculations</t>
  </si>
  <si>
    <t>ConEd Natural Gas Service Rates</t>
  </si>
  <si>
    <t>Natural Gas Energy Costs</t>
  </si>
  <si>
    <t>Energy Consumption (therms)</t>
  </si>
  <si>
    <t>Breakdown</t>
  </si>
  <si>
    <t>Baseline</t>
  </si>
  <si>
    <t>Residual</t>
  </si>
  <si>
    <t>/therm</t>
  </si>
  <si>
    <t>&gt;3000</t>
  </si>
  <si>
    <t>Natural Gas Energy Cost</t>
  </si>
  <si>
    <t>&gt;1200</t>
  </si>
  <si>
    <t>Summary of Changes</t>
  </si>
  <si>
    <t>Decrease in kWh</t>
  </si>
  <si>
    <t>NYSERDA Average Home Heating Oil Prices</t>
  </si>
  <si>
    <t>Decrease in mmBtu</t>
  </si>
  <si>
    <t>Fuel Oil Energy Costs</t>
  </si>
  <si>
    <t>Decrease in therms</t>
  </si>
  <si>
    <t>2018 Average</t>
  </si>
  <si>
    <t>/ gallon</t>
  </si>
  <si>
    <t>Decrease in Costs</t>
  </si>
  <si>
    <t>Energy Consumption (mmBtu)</t>
  </si>
  <si>
    <t>Energy Consumption (gal)</t>
  </si>
  <si>
    <t>Cost per gallon</t>
  </si>
  <si>
    <t>Fuel Oil Energy Cost</t>
  </si>
  <si>
    <t>Link</t>
  </si>
  <si>
    <t>HSPF equation:</t>
  </si>
  <si>
    <t>HSPF &lt; 8.5</t>
  </si>
  <si>
    <t>HSPF =&gt; 8.5</t>
  </si>
  <si>
    <t>SEER regresssion:</t>
  </si>
  <si>
    <t>SEER &lt; 13.5</t>
  </si>
  <si>
    <t>SEER =&gt; 13.5</t>
  </si>
  <si>
    <t xml:space="preserve">Where: T = ASHRAE design T @ </t>
  </si>
  <si>
    <t xml:space="preserve">T = ASHRAE design T @ </t>
  </si>
  <si>
    <t>1% (cooling SEER), 99% (heating HSPF)</t>
  </si>
  <si>
    <t>Location</t>
  </si>
  <si>
    <t>Electricity Service Rates</t>
  </si>
  <si>
    <t>Source: Bureau of Labor Statistics</t>
  </si>
  <si>
    <t>Manhattan</t>
  </si>
  <si>
    <t>Electricity Rates</t>
  </si>
  <si>
    <t>Bronx</t>
  </si>
  <si>
    <t>Rate 2</t>
  </si>
  <si>
    <t>Annual Avg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</si>
  <si>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</si>
  <si>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</si>
  <si>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</si>
  <si>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</si>
  <si>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</si>
  <si>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</si>
  <si>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</si>
  <si>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</si>
  <si>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</si>
  <si>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</si>
  <si>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</si>
  <si>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</si>
  <si>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</si>
  <si>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Brooklyn</t>
  </si>
  <si>
    <t>Rate 3</t>
  </si>
  <si>
    <t>Queens</t>
  </si>
  <si>
    <t>Staten Island</t>
  </si>
  <si>
    <t>Building Age</t>
  </si>
  <si>
    <t>Envelope Type</t>
  </si>
  <si>
    <t>Drafty</t>
  </si>
  <si>
    <t>Multi-family low-rise</t>
  </si>
  <si>
    <t>Tight</t>
  </si>
  <si>
    <t>Baseline Scenario</t>
  </si>
  <si>
    <t>Heating Type</t>
  </si>
  <si>
    <t>Cooling Type</t>
  </si>
  <si>
    <t>Boiler</t>
  </si>
  <si>
    <t>Furnace</t>
  </si>
  <si>
    <t>No AC</t>
  </si>
  <si>
    <t>Date:</t>
  </si>
  <si>
    <t>Price:</t>
  </si>
  <si>
    <t>2018 average</t>
  </si>
  <si>
    <t>ASHP Measure</t>
  </si>
  <si>
    <t>System Type</t>
  </si>
  <si>
    <t>System Efficiency</t>
  </si>
  <si>
    <t>Warning Messages</t>
  </si>
  <si>
    <t>Fuel Oil Prices</t>
  </si>
  <si>
    <t>Cell</t>
  </si>
  <si>
    <t>O26</t>
  </si>
  <si>
    <t>O12</t>
  </si>
  <si>
    <t>WARNING: The current design is not cost-saving</t>
  </si>
  <si>
    <t>WARNING: The current design is not energy-saving</t>
  </si>
  <si>
    <t>Old (Pre 1979)</t>
  </si>
  <si>
    <t>Average (1979 - 2006)</t>
  </si>
  <si>
    <t>New (2007 - Present)</t>
  </si>
  <si>
    <t>Building Age Lookup</t>
  </si>
  <si>
    <t>Source: NY TRM pg 363</t>
  </si>
  <si>
    <t>Not Used Currently</t>
  </si>
  <si>
    <t>gallons</t>
  </si>
  <si>
    <t>Natural Gas Consumption</t>
  </si>
  <si>
    <t>Fuel Oil Consumption</t>
  </si>
  <si>
    <t>Total Baseline Energy Consumption</t>
  </si>
  <si>
    <t>ASHP Heating Consumption</t>
  </si>
  <si>
    <t>ASHP Cooling Consumption</t>
  </si>
  <si>
    <t>Residual Heating Consumption</t>
  </si>
  <si>
    <t>Residual Cooling Consumption</t>
  </si>
  <si>
    <t>Total ASHP Energy Consumption</t>
  </si>
  <si>
    <t>Multi-Family low-Rise</t>
  </si>
  <si>
    <t>Rated Cooling Efficiency (SEER)</t>
  </si>
  <si>
    <t>Rated Efficiency (SEER)</t>
  </si>
  <si>
    <t>Rated Heating Efficiency (HSPF)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</si>
</sst>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#0.000"/>
    <numFmt numFmtId="168" formatCode="_(* #,##0.0_);_(* \(#,##0.0\);_(* &quot;-&quot;??_);_(@_)"/>
    <numFmt numFmtId="169" formatCode="0.0000"/>
    <numFmt numFmtId="170" formatCode="_(* #,##0.000000_);_(* \(#,##0.000000\);_(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Arial"/>
      <family val="2"/>
      <charset val="128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 tint="0.249977111117893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3" tint="-0.499984740745262"/>
      <name val="Calibri"/>
      <family val="2"/>
    </font>
    <font>
      <i/>
      <sz val="11"/>
      <color rgb="FF000000"/>
      <name val="Calibri"/>
      <family val="2"/>
    </font>
    <font>
      <i/>
      <sz val="10"/>
      <color rgb="FF000000"/>
      <name val="Verdana"/>
      <family val="2"/>
    </font>
    <font>
      <i/>
      <sz val="10"/>
      <color theme="1"/>
      <name val="Calibri"/>
      <family val="2"/>
      <scheme val="minor"/>
    </font>
    <font>
      <sz val="8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"/>
      <family val="2"/>
    </font>
    <font>
      <sz val="14"/>
      <color rgb="FFFF000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lightGray"/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theme="0" tint="-4.9989318521683403E-2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medium">
        <color theme="4" tint="0.39997558519241921"/>
      </top>
      <bottom/>
      <diagonal/>
    </border>
    <border>
      <left/>
      <right/>
      <top style="medium">
        <color theme="4" tint="0.39997558519241921"/>
      </top>
      <bottom/>
      <diagonal/>
    </border>
    <border>
      <left/>
      <right style="thin">
        <color indexed="64"/>
      </right>
      <top style="medium">
        <color theme="4" tint="0.3999755851924192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2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7" applyNumberFormat="0" applyFill="0" applyAlignment="0" applyProtection="0"/>
    <xf numFmtId="0" fontId="5" fillId="3" borderId="18" applyNumberFormat="0" applyAlignment="0" applyProtection="0"/>
    <xf numFmtId="0" fontId="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/>
  </cellStyleXfs>
  <cellXfs count="496">
    <xf numFmtId="0" fontId="0" fillId="0" borderId="0" xfId="0"/>
    <xf numFmtId="0" fontId="0" fillId="5" borderId="0" xfId="23" applyFont="1" applyBorder="1" applyAlignment="1">
      <alignment horizontal="left"/>
    </xf>
    <xf numFmtId="0" fontId="0" fillId="0" borderId="6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7" fillId="4" borderId="19" xfId="22" applyFont="1" applyBorder="1"/>
    <xf numFmtId="0" fontId="7" fillId="4" borderId="20" xfId="22" applyFont="1" applyBorder="1" applyAlignment="1"/>
    <xf numFmtId="0" fontId="0" fillId="5" borderId="7" xfId="23" applyFont="1" applyBorder="1" applyAlignment="1">
      <alignment horizontal="left"/>
    </xf>
    <xf numFmtId="0" fontId="0" fillId="7" borderId="9" xfId="0" applyFont="1" applyFill="1" applyBorder="1"/>
    <xf numFmtId="0" fontId="7" fillId="4" borderId="0" xfId="22" applyBorder="1"/>
    <xf numFmtId="0" fontId="0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2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3" xfId="0" applyFont="1" applyBorder="1"/>
    <xf numFmtId="0" fontId="0" fillId="0" borderId="4" xfId="0" applyFont="1" applyBorder="1"/>
    <xf numFmtId="166" fontId="0" fillId="0" borderId="4" xfId="0" applyNumberFormat="1" applyFont="1" applyBorder="1"/>
    <xf numFmtId="166" fontId="0" fillId="0" borderId="9" xfId="0" applyNumberFormat="1" applyFont="1" applyBorder="1"/>
    <xf numFmtId="166" fontId="0" fillId="0" borderId="12" xfId="0" applyNumberFormat="1" applyFont="1" applyBorder="1"/>
    <xf numFmtId="0" fontId="0" fillId="7" borderId="12" xfId="0" applyFont="1" applyFill="1" applyBorder="1"/>
    <xf numFmtId="0" fontId="0" fillId="7" borderId="14" xfId="0" applyFont="1" applyFill="1" applyBorder="1"/>
    <xf numFmtId="0" fontId="0" fillId="0" borderId="5" xfId="0" applyFont="1" applyBorder="1"/>
    <xf numFmtId="0" fontId="0" fillId="7" borderId="11" xfId="0" applyFont="1" applyFill="1" applyBorder="1"/>
    <xf numFmtId="0" fontId="7" fillId="4" borderId="21" xfId="22" applyFont="1" applyBorder="1" applyAlignment="1"/>
    <xf numFmtId="0" fontId="9" fillId="8" borderId="0" xfId="0" applyFont="1" applyFill="1"/>
    <xf numFmtId="0" fontId="12" fillId="8" borderId="0" xfId="0" applyFont="1" applyFill="1" applyAlignment="1">
      <alignment horizontal="left"/>
    </xf>
    <xf numFmtId="0" fontId="12" fillId="8" borderId="0" xfId="0" applyFont="1" applyFill="1"/>
    <xf numFmtId="0" fontId="13" fillId="8" borderId="0" xfId="0" applyFont="1" applyFill="1"/>
    <xf numFmtId="0" fontId="7" fillId="8" borderId="0" xfId="0" applyFont="1" applyFill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9" xfId="0" applyBorder="1"/>
    <xf numFmtId="0" fontId="14" fillId="9" borderId="0" xfId="0" applyFont="1" applyFill="1"/>
    <xf numFmtId="43" fontId="0" fillId="0" borderId="2" xfId="0" applyNumberFormat="1" applyFont="1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0" xfId="0" applyFont="1"/>
    <xf numFmtId="0" fontId="0" fillId="0" borderId="0" xfId="0"/>
    <xf numFmtId="0" fontId="0" fillId="0" borderId="0" xfId="0" applyBorder="1"/>
    <xf numFmtId="0" fontId="0" fillId="8" borderId="0" xfId="0" applyFill="1"/>
    <xf numFmtId="0" fontId="20" fillId="10" borderId="0" xfId="0" applyFont="1" applyFill="1" applyBorder="1"/>
    <xf numFmtId="0" fontId="7" fillId="10" borderId="0" xfId="0" applyFont="1" applyFill="1" applyBorder="1"/>
    <xf numFmtId="0" fontId="22" fillId="10" borderId="0" xfId="26" applyFont="1" applyFill="1" applyBorder="1" applyAlignment="1">
      <alignment vertical="center"/>
    </xf>
    <xf numFmtId="0" fontId="23" fillId="10" borderId="0" xfId="0" applyFont="1" applyFill="1" applyBorder="1" applyAlignment="1">
      <alignment vertical="center"/>
    </xf>
    <xf numFmtId="0" fontId="18" fillId="0" borderId="11" xfId="0" quotePrefix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24" fillId="9" borderId="11" xfId="0" applyFont="1" applyFill="1" applyBorder="1" applyAlignment="1">
      <alignment vertical="center"/>
    </xf>
    <xf numFmtId="0" fontId="21" fillId="9" borderId="12" xfId="0" applyFont="1" applyFill="1" applyBorder="1" applyAlignment="1">
      <alignment vertical="center"/>
    </xf>
    <xf numFmtId="0" fontId="21" fillId="9" borderId="14" xfId="0" applyFont="1" applyFill="1" applyBorder="1" applyAlignment="1">
      <alignment vertical="center"/>
    </xf>
    <xf numFmtId="0" fontId="21" fillId="9" borderId="11" xfId="0" applyFont="1" applyFill="1" applyBorder="1" applyAlignment="1">
      <alignment vertical="center"/>
    </xf>
    <xf numFmtId="0" fontId="21" fillId="9" borderId="12" xfId="0" applyFont="1" applyFill="1" applyBorder="1" applyAlignment="1">
      <alignment horizontal="right" vertical="center"/>
    </xf>
    <xf numFmtId="0" fontId="21" fillId="9" borderId="14" xfId="0" applyFont="1" applyFill="1" applyBorder="1" applyAlignment="1">
      <alignment horizontal="right" vertical="center"/>
    </xf>
    <xf numFmtId="0" fontId="25" fillId="2" borderId="3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0" fontId="25" fillId="2" borderId="8" xfId="0" applyFont="1" applyFill="1" applyBorder="1" applyAlignment="1">
      <alignment vertical="center"/>
    </xf>
    <xf numFmtId="0" fontId="15" fillId="2" borderId="9" xfId="0" applyFont="1" applyFill="1" applyBorder="1"/>
    <xf numFmtId="0" fontId="15" fillId="2" borderId="10" xfId="0" applyFont="1" applyFill="1" applyBorder="1"/>
    <xf numFmtId="0" fontId="25" fillId="2" borderId="4" xfId="0" applyFont="1" applyFill="1" applyBorder="1" applyAlignment="1">
      <alignment vertical="center"/>
    </xf>
    <xf numFmtId="0" fontId="25" fillId="2" borderId="5" xfId="0" applyFont="1" applyFill="1" applyBorder="1" applyAlignment="1">
      <alignment vertical="center"/>
    </xf>
    <xf numFmtId="0" fontId="18" fillId="0" borderId="8" xfId="0" quotePrefix="1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7" fillId="4" borderId="0" xfId="22" applyBorder="1" applyAlignment="1">
      <alignment vertical="center"/>
    </xf>
    <xf numFmtId="0" fontId="7" fillId="4" borderId="0" xfId="22" applyBorder="1" applyAlignment="1">
      <alignment horizontal="right" vertical="center"/>
    </xf>
    <xf numFmtId="0" fontId="27" fillId="0" borderId="11" xfId="0" applyFont="1" applyBorder="1"/>
    <xf numFmtId="166" fontId="7" fillId="4" borderId="0" xfId="22" applyNumberFormat="1" applyBorder="1"/>
    <xf numFmtId="166" fontId="0" fillId="7" borderId="12" xfId="0" applyNumberFormat="1" applyFont="1" applyFill="1" applyBorder="1"/>
    <xf numFmtId="10" fontId="0" fillId="7" borderId="12" xfId="19" applyNumberFormat="1" applyFont="1" applyFill="1" applyBorder="1"/>
    <xf numFmtId="166" fontId="0" fillId="7" borderId="4" xfId="0" applyNumberFormat="1" applyFont="1" applyFill="1" applyBorder="1"/>
    <xf numFmtId="2" fontId="0" fillId="0" borderId="4" xfId="0" applyNumberFormat="1" applyFont="1" applyBorder="1"/>
    <xf numFmtId="2" fontId="0" fillId="0" borderId="9" xfId="0" applyNumberFormat="1" applyFont="1" applyBorder="1"/>
    <xf numFmtId="10" fontId="0" fillId="7" borderId="14" xfId="19" applyNumberFormat="1" applyFont="1" applyFill="1" applyBorder="1"/>
    <xf numFmtId="2" fontId="0" fillId="0" borderId="10" xfId="0" applyNumberFormat="1" applyFont="1" applyBorder="1"/>
    <xf numFmtId="2" fontId="0" fillId="0" borderId="5" xfId="0" applyNumberFormat="1" applyFont="1" applyBorder="1"/>
    <xf numFmtId="0" fontId="12" fillId="8" borderId="23" xfId="0" applyFont="1" applyFill="1" applyBorder="1"/>
    <xf numFmtId="0" fontId="9" fillId="8" borderId="23" xfId="0" applyFont="1" applyFill="1" applyBorder="1"/>
    <xf numFmtId="0" fontId="16" fillId="0" borderId="0" xfId="26"/>
    <xf numFmtId="0" fontId="7" fillId="4" borderId="20" xfId="22" applyFont="1" applyBorder="1"/>
    <xf numFmtId="167" fontId="34" fillId="0" borderId="9" xfId="27" applyNumberFormat="1" applyFont="1" applyFill="1" applyBorder="1" applyAlignment="1">
      <alignment horizontal="right"/>
    </xf>
    <xf numFmtId="167" fontId="34" fillId="0" borderId="10" xfId="27" applyNumberFormat="1" applyFont="1" applyFill="1" applyBorder="1" applyAlignment="1">
      <alignment horizontal="right"/>
    </xf>
    <xf numFmtId="167" fontId="34" fillId="0" borderId="12" xfId="27" applyNumberFormat="1" applyFont="1" applyFill="1" applyBorder="1" applyAlignment="1">
      <alignment horizontal="right"/>
    </xf>
    <xf numFmtId="167" fontId="34" fillId="0" borderId="14" xfId="27" applyNumberFormat="1" applyFont="1" applyFill="1" applyBorder="1" applyAlignment="1">
      <alignment horizontal="right"/>
    </xf>
    <xf numFmtId="167" fontId="34" fillId="7" borderId="12" xfId="27" applyNumberFormat="1" applyFont="1" applyFill="1" applyBorder="1" applyAlignment="1">
      <alignment horizontal="right"/>
    </xf>
    <xf numFmtId="167" fontId="34" fillId="7" borderId="14" xfId="27" applyNumberFormat="1" applyFont="1" applyFill="1" applyBorder="1" applyAlignment="1">
      <alignment horizontal="right"/>
    </xf>
    <xf numFmtId="0" fontId="0" fillId="5" borderId="16" xfId="23" applyFont="1" applyBorder="1" applyAlignment="1">
      <alignment horizontal="left"/>
    </xf>
    <xf numFmtId="167" fontId="0" fillId="0" borderId="15" xfId="0" applyNumberFormat="1" applyFont="1" applyBorder="1"/>
    <xf numFmtId="167" fontId="0" fillId="7" borderId="2" xfId="0" applyNumberFormat="1" applyFont="1" applyFill="1" applyBorder="1"/>
    <xf numFmtId="167" fontId="0" fillId="0" borderId="2" xfId="0" applyNumberFormat="1" applyFont="1" applyBorder="1"/>
    <xf numFmtId="0" fontId="7" fillId="4" borderId="4" xfId="22" applyBorder="1"/>
    <xf numFmtId="0" fontId="7" fillId="4" borderId="5" xfId="22" applyBorder="1"/>
    <xf numFmtId="0" fontId="7" fillId="4" borderId="3" xfId="22" applyBorder="1"/>
    <xf numFmtId="44" fontId="0" fillId="0" borderId="9" xfId="25" applyFont="1" applyBorder="1"/>
    <xf numFmtId="44" fontId="0" fillId="0" borderId="10" xfId="25" applyFont="1" applyBorder="1"/>
    <xf numFmtId="44" fontId="0" fillId="0" borderId="7" xfId="25" applyFont="1" applyBorder="1"/>
    <xf numFmtId="0" fontId="0" fillId="7" borderId="6" xfId="0" applyFont="1" applyFill="1" applyBorder="1"/>
    <xf numFmtId="0" fontId="6" fillId="7" borderId="3" xfId="23" applyFont="1" applyFill="1" applyBorder="1" applyAlignment="1">
      <alignment horizontal="left"/>
    </xf>
    <xf numFmtId="0" fontId="6" fillId="7" borderId="6" xfId="23" applyFont="1" applyFill="1" applyBorder="1" applyAlignment="1">
      <alignment horizontal="left"/>
    </xf>
    <xf numFmtId="0" fontId="6" fillId="7" borderId="7" xfId="23" applyFont="1" applyFill="1" applyBorder="1" applyAlignment="1">
      <alignment horizontal="left"/>
    </xf>
    <xf numFmtId="0" fontId="6" fillId="7" borderId="0" xfId="23" applyFont="1" applyFill="1" applyBorder="1" applyAlignment="1">
      <alignment horizontal="left"/>
    </xf>
    <xf numFmtId="44" fontId="0" fillId="0" borderId="9" xfId="25" applyFont="1" applyFill="1" applyBorder="1"/>
    <xf numFmtId="44" fontId="0" fillId="0" borderId="14" xfId="25" applyFont="1" applyBorder="1"/>
    <xf numFmtId="44" fontId="0" fillId="0" borderId="0" xfId="25" applyFont="1" applyBorder="1"/>
    <xf numFmtId="0" fontId="6" fillId="7" borderId="4" xfId="23" applyFont="1" applyFill="1" applyBorder="1" applyAlignment="1">
      <alignment horizontal="left"/>
    </xf>
    <xf numFmtId="44" fontId="0" fillId="0" borderId="4" xfId="25" applyFont="1" applyBorder="1"/>
    <xf numFmtId="0" fontId="16" fillId="0" borderId="0" xfId="26" applyBorder="1"/>
    <xf numFmtId="0" fontId="7" fillId="4" borderId="4" xfId="22" applyFont="1" applyBorder="1" applyAlignment="1"/>
    <xf numFmtId="0" fontId="7" fillId="4" borderId="8" xfId="22" applyBorder="1"/>
    <xf numFmtId="0" fontId="0" fillId="7" borderId="0" xfId="0" applyFont="1" applyFill="1" applyBorder="1"/>
    <xf numFmtId="0" fontId="0" fillId="7" borderId="8" xfId="0" applyFont="1" applyFill="1" applyBorder="1" applyAlignment="1">
      <alignment horizontal="right"/>
    </xf>
    <xf numFmtId="44" fontId="0" fillId="7" borderId="0" xfId="25" applyFont="1" applyFill="1" applyBorder="1"/>
    <xf numFmtId="44" fontId="0" fillId="7" borderId="9" xfId="25" applyFont="1" applyFill="1" applyBorder="1"/>
    <xf numFmtId="44" fontId="7" fillId="4" borderId="4" xfId="25" applyFont="1" applyFill="1" applyBorder="1"/>
    <xf numFmtId="0" fontId="9" fillId="8" borderId="24" xfId="0" applyFont="1" applyFill="1" applyBorder="1"/>
    <xf numFmtId="0" fontId="12" fillId="8" borderId="24" xfId="0" applyFont="1" applyFill="1" applyBorder="1"/>
    <xf numFmtId="0" fontId="6" fillId="0" borderId="0" xfId="0" applyFont="1" applyBorder="1"/>
    <xf numFmtId="43" fontId="0" fillId="0" borderId="14" xfId="18" applyFont="1" applyBorder="1"/>
    <xf numFmtId="43" fontId="0" fillId="0" borderId="10" xfId="18" applyFont="1" applyBorder="1"/>
    <xf numFmtId="43" fontId="0" fillId="0" borderId="10" xfId="18" applyNumberFormat="1" applyFont="1" applyBorder="1"/>
    <xf numFmtId="0" fontId="31" fillId="8" borderId="23" xfId="0" applyFont="1" applyFill="1" applyBorder="1"/>
    <xf numFmtId="165" fontId="0" fillId="0" borderId="10" xfId="18" applyNumberFormat="1" applyFont="1" applyBorder="1"/>
    <xf numFmtId="2" fontId="0" fillId="0" borderId="14" xfId="0" applyNumberFormat="1" applyFont="1" applyBorder="1"/>
    <xf numFmtId="44" fontId="0" fillId="0" borderId="5" xfId="25" applyFont="1" applyBorder="1"/>
    <xf numFmtId="44" fontId="0" fillId="7" borderId="7" xfId="25" applyFont="1" applyFill="1" applyBorder="1"/>
    <xf numFmtId="0" fontId="7" fillId="4" borderId="15" xfId="22" applyBorder="1" applyAlignment="1">
      <alignment horizontal="center"/>
    </xf>
    <xf numFmtId="0" fontId="7" fillId="4" borderId="13" xfId="22" applyBorder="1" applyAlignment="1">
      <alignment horizontal="center"/>
    </xf>
    <xf numFmtId="0" fontId="7" fillId="4" borderId="10" xfId="22" applyBorder="1" applyAlignment="1">
      <alignment horizontal="center"/>
    </xf>
    <xf numFmtId="0" fontId="0" fillId="2" borderId="0" xfId="0" applyFont="1" applyFill="1" applyBorder="1"/>
    <xf numFmtId="44" fontId="0" fillId="7" borderId="14" xfId="25" applyFont="1" applyFill="1" applyBorder="1"/>
    <xf numFmtId="0" fontId="9" fillId="8" borderId="0" xfId="0" applyFont="1" applyFill="1" applyBorder="1"/>
    <xf numFmtId="0" fontId="6" fillId="12" borderId="11" xfId="0" applyFont="1" applyFill="1" applyBorder="1"/>
    <xf numFmtId="0" fontId="6" fillId="12" borderId="12" xfId="0" applyFont="1" applyFill="1" applyBorder="1"/>
    <xf numFmtId="2" fontId="0" fillId="7" borderId="12" xfId="0" applyNumberFormat="1" applyFont="1" applyFill="1" applyBorder="1"/>
    <xf numFmtId="0" fontId="6" fillId="0" borderId="0" xfId="0" applyFont="1" applyBorder="1" applyAlignment="1">
      <alignment horizontal="center"/>
    </xf>
    <xf numFmtId="0" fontId="38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34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indent="1"/>
    </xf>
    <xf numFmtId="0" fontId="0" fillId="14" borderId="25" xfId="0" applyFont="1" applyFill="1" applyBorder="1"/>
    <xf numFmtId="0" fontId="0" fillId="14" borderId="1" xfId="0" applyFont="1" applyFill="1" applyBorder="1"/>
    <xf numFmtId="0" fontId="0" fillId="14" borderId="22" xfId="0" applyFont="1" applyFill="1" applyBorder="1"/>
    <xf numFmtId="0" fontId="0" fillId="0" borderId="9" xfId="0" applyFont="1" applyBorder="1" applyAlignment="1">
      <alignment horizontal="right"/>
    </xf>
    <xf numFmtId="165" fontId="0" fillId="0" borderId="9" xfId="18" applyNumberFormat="1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165" fontId="0" fillId="0" borderId="12" xfId="18" applyNumberFormat="1" applyFont="1" applyBorder="1" applyAlignment="1">
      <alignment horizontal="center"/>
    </xf>
    <xf numFmtId="43" fontId="0" fillId="0" borderId="12" xfId="18" applyFont="1" applyBorder="1" applyAlignment="1">
      <alignment horizontal="center"/>
    </xf>
    <xf numFmtId="168" fontId="0" fillId="0" borderId="12" xfId="18" applyNumberFormat="1" applyFont="1" applyBorder="1" applyAlignment="1">
      <alignment horizontal="center"/>
    </xf>
    <xf numFmtId="43" fontId="0" fillId="0" borderId="12" xfId="18" applyNumberFormat="1" applyFont="1" applyBorder="1" applyAlignment="1">
      <alignment horizontal="center"/>
    </xf>
    <xf numFmtId="0" fontId="0" fillId="0" borderId="12" xfId="0" applyFont="1" applyBorder="1" applyAlignment="1">
      <alignment horizontal="right" indent="1"/>
    </xf>
    <xf numFmtId="165" fontId="0" fillId="0" borderId="12" xfId="18" applyNumberFormat="1" applyFont="1" applyBorder="1" applyAlignment="1">
      <alignment horizontal="right" indent="1"/>
    </xf>
    <xf numFmtId="0" fontId="0" fillId="0" borderId="26" xfId="0" applyFont="1" applyBorder="1"/>
    <xf numFmtId="0" fontId="0" fillId="0" borderId="35" xfId="0" applyFont="1" applyBorder="1"/>
    <xf numFmtId="0" fontId="8" fillId="0" borderId="8" xfId="24" applyFont="1" applyFill="1" applyBorder="1" applyAlignment="1">
      <alignment horizontal="left" indent="1"/>
    </xf>
    <xf numFmtId="0" fontId="16" fillId="0" borderId="0" xfId="26" applyFill="1" applyBorder="1"/>
    <xf numFmtId="0" fontId="8" fillId="0" borderId="14" xfId="24" applyFont="1" applyFill="1" applyBorder="1"/>
    <xf numFmtId="0" fontId="8" fillId="0" borderId="2" xfId="24" applyFont="1" applyFill="1" applyBorder="1" applyAlignment="1">
      <alignment horizontal="right"/>
    </xf>
    <xf numFmtId="0" fontId="8" fillId="0" borderId="2" xfId="24" applyFont="1" applyFill="1" applyBorder="1"/>
    <xf numFmtId="0" fontId="8" fillId="7" borderId="14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12" xfId="0" applyFont="1" applyFill="1" applyBorder="1"/>
    <xf numFmtId="0" fontId="8" fillId="2" borderId="9" xfId="0" applyFont="1" applyFill="1" applyBorder="1"/>
    <xf numFmtId="0" fontId="0" fillId="14" borderId="32" xfId="0" applyFont="1" applyFill="1" applyBorder="1"/>
    <xf numFmtId="0" fontId="0" fillId="14" borderId="34" xfId="0" applyFont="1" applyFill="1" applyBorder="1"/>
    <xf numFmtId="0" fontId="0" fillId="14" borderId="0" xfId="0" applyFont="1" applyFill="1" applyBorder="1"/>
    <xf numFmtId="0" fontId="8" fillId="7" borderId="12" xfId="0" applyFont="1" applyFill="1" applyBorder="1"/>
    <xf numFmtId="0" fontId="8" fillId="12" borderId="15" xfId="23" applyFont="1" applyFill="1" applyBorder="1" applyAlignment="1">
      <alignment horizontal="center"/>
    </xf>
    <xf numFmtId="0" fontId="8" fillId="12" borderId="7" xfId="23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5" xfId="0" applyFont="1" applyFill="1" applyBorder="1"/>
    <xf numFmtId="0" fontId="8" fillId="7" borderId="2" xfId="0" applyFont="1" applyFill="1" applyBorder="1"/>
    <xf numFmtId="0" fontId="8" fillId="7" borderId="14" xfId="0" applyFont="1" applyFill="1" applyBorder="1"/>
    <xf numFmtId="0" fontId="0" fillId="0" borderId="11" xfId="24" applyFont="1" applyFill="1" applyBorder="1" applyAlignment="1">
      <alignment horizontal="left" indent="1"/>
    </xf>
    <xf numFmtId="0" fontId="8" fillId="0" borderId="11" xfId="24" applyFont="1" applyFill="1" applyBorder="1" applyAlignment="1">
      <alignment horizontal="left" indent="1"/>
    </xf>
    <xf numFmtId="0" fontId="8" fillId="0" borderId="14" xfId="21" applyFont="1" applyFill="1" applyBorder="1" applyAlignment="1">
      <alignment horizontal="right"/>
    </xf>
    <xf numFmtId="0" fontId="0" fillId="7" borderId="11" xfId="24" applyFont="1" applyFill="1" applyBorder="1" applyAlignment="1">
      <alignment horizontal="left" indent="1"/>
    </xf>
    <xf numFmtId="0" fontId="8" fillId="7" borderId="11" xfId="24" applyFont="1" applyFill="1" applyBorder="1" applyAlignment="1">
      <alignment horizontal="left" indent="1"/>
    </xf>
    <xf numFmtId="0" fontId="8" fillId="7" borderId="14" xfId="21" applyFont="1" applyFill="1" applyBorder="1" applyAlignment="1">
      <alignment horizontal="right"/>
    </xf>
    <xf numFmtId="0" fontId="0" fillId="7" borderId="28" xfId="0" applyFont="1" applyFill="1" applyBorder="1"/>
    <xf numFmtId="0" fontId="8" fillId="7" borderId="11" xfId="24" applyFont="1" applyFill="1" applyBorder="1" applyAlignment="1">
      <alignment horizontal="left" indent="6"/>
    </xf>
    <xf numFmtId="0" fontId="8" fillId="0" borderId="11" xfId="24" applyFont="1" applyFill="1" applyBorder="1" applyAlignment="1">
      <alignment horizontal="left" indent="6"/>
    </xf>
    <xf numFmtId="0" fontId="8" fillId="7" borderId="38" xfId="24" applyFont="1" applyFill="1" applyBorder="1" applyAlignment="1">
      <alignment horizontal="left" indent="6"/>
    </xf>
    <xf numFmtId="0" fontId="8" fillId="7" borderId="37" xfId="21" applyFont="1" applyFill="1" applyBorder="1" applyAlignment="1">
      <alignment horizontal="right"/>
    </xf>
    <xf numFmtId="0" fontId="39" fillId="0" borderId="8" xfId="24" applyFont="1" applyFill="1" applyBorder="1" applyAlignment="1">
      <alignment horizontal="left" indent="1"/>
    </xf>
    <xf numFmtId="0" fontId="8" fillId="0" borderId="14" xfId="21" applyFont="1" applyFill="1" applyBorder="1"/>
    <xf numFmtId="0" fontId="20" fillId="11" borderId="11" xfId="22" applyFont="1" applyFill="1" applyBorder="1"/>
    <xf numFmtId="0" fontId="8" fillId="2" borderId="10" xfId="0" applyFont="1" applyFill="1" applyBorder="1" applyAlignment="1">
      <alignment horizontal="right"/>
    </xf>
    <xf numFmtId="0" fontId="8" fillId="0" borderId="10" xfId="21" applyFont="1" applyFill="1" applyBorder="1"/>
    <xf numFmtId="0" fontId="4" fillId="0" borderId="39" xfId="20" applyFont="1" applyBorder="1" applyAlignment="1">
      <alignment horizontal="left"/>
    </xf>
    <xf numFmtId="0" fontId="7" fillId="4" borderId="32" xfId="22" applyBorder="1"/>
    <xf numFmtId="0" fontId="7" fillId="4" borderId="0" xfId="22" applyBorder="1" applyAlignment="1">
      <alignment horizontal="right"/>
    </xf>
    <xf numFmtId="0" fontId="0" fillId="0" borderId="40" xfId="0" applyFont="1" applyBorder="1"/>
    <xf numFmtId="0" fontId="0" fillId="7" borderId="35" xfId="0" applyFont="1" applyFill="1" applyBorder="1"/>
    <xf numFmtId="0" fontId="0" fillId="0" borderId="26" xfId="0" applyFont="1" applyBorder="1" applyAlignment="1"/>
    <xf numFmtId="0" fontId="4" fillId="0" borderId="39" xfId="20" applyFill="1" applyBorder="1"/>
    <xf numFmtId="0" fontId="4" fillId="0" borderId="17" xfId="20" applyBorder="1"/>
    <xf numFmtId="0" fontId="20" fillId="11" borderId="35" xfId="22" applyFont="1" applyFill="1" applyBorder="1"/>
    <xf numFmtId="0" fontId="8" fillId="2" borderId="26" xfId="0" applyFont="1" applyFill="1" applyBorder="1" applyAlignment="1">
      <alignment horizontal="left"/>
    </xf>
    <xf numFmtId="0" fontId="8" fillId="7" borderId="35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4" fillId="0" borderId="39" xfId="20" applyBorder="1"/>
    <xf numFmtId="0" fontId="7" fillId="4" borderId="32" xfId="22" applyBorder="1" applyAlignment="1">
      <alignment vertical="center"/>
    </xf>
    <xf numFmtId="0" fontId="18" fillId="0" borderId="26" xfId="0" quotePrefix="1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1" xfId="0" applyFont="1" applyBorder="1" applyAlignment="1">
      <alignment horizontal="right" vertical="center"/>
    </xf>
    <xf numFmtId="166" fontId="4" fillId="0" borderId="17" xfId="20" applyNumberFormat="1" applyBorder="1"/>
    <xf numFmtId="166" fontId="0" fillId="0" borderId="41" xfId="0" applyNumberFormat="1" applyFont="1" applyBorder="1" applyAlignment="1">
      <alignment horizontal="right"/>
    </xf>
    <xf numFmtId="2" fontId="0" fillId="0" borderId="2" xfId="0" applyNumberFormat="1" applyFont="1" applyBorder="1"/>
    <xf numFmtId="0" fontId="6" fillId="0" borderId="32" xfId="0" applyFont="1" applyBorder="1"/>
    <xf numFmtId="0" fontId="37" fillId="11" borderId="40" xfId="22" applyFont="1" applyFill="1" applyBorder="1"/>
    <xf numFmtId="0" fontId="8" fillId="12" borderId="26" xfId="23" applyFont="1" applyFill="1" applyBorder="1" applyAlignment="1">
      <alignment horizontal="left"/>
    </xf>
    <xf numFmtId="0" fontId="7" fillId="4" borderId="36" xfId="22" applyBorder="1"/>
    <xf numFmtId="0" fontId="16" fillId="0" borderId="32" xfId="26" applyBorder="1"/>
    <xf numFmtId="0" fontId="7" fillId="4" borderId="40" xfId="22" applyFont="1" applyBorder="1" applyAlignment="1"/>
    <xf numFmtId="0" fontId="6" fillId="7" borderId="42" xfId="23" applyFont="1" applyFill="1" applyBorder="1" applyAlignment="1">
      <alignment horizontal="left"/>
    </xf>
    <xf numFmtId="0" fontId="0" fillId="7" borderId="34" xfId="0" applyFont="1" applyFill="1" applyBorder="1"/>
    <xf numFmtId="0" fontId="6" fillId="7" borderId="43" xfId="23" applyFont="1" applyFill="1" applyBorder="1" applyAlignment="1">
      <alignment horizontal="left"/>
    </xf>
    <xf numFmtId="0" fontId="0" fillId="7" borderId="27" xfId="0" applyFont="1" applyFill="1" applyBorder="1"/>
    <xf numFmtId="0" fontId="15" fillId="0" borderId="26" xfId="0" applyFont="1" applyFill="1" applyBorder="1" applyAlignment="1">
      <alignment horizontal="left" indent="2"/>
    </xf>
    <xf numFmtId="0" fontId="15" fillId="0" borderId="26" xfId="0" applyFont="1" applyBorder="1" applyAlignment="1">
      <alignment horizontal="left" indent="2"/>
    </xf>
    <xf numFmtId="0" fontId="0" fillId="0" borderId="32" xfId="0" applyFont="1" applyFill="1" applyBorder="1"/>
    <xf numFmtId="0" fontId="0" fillId="0" borderId="0" xfId="0" applyFont="1" applyFill="1" applyBorder="1"/>
    <xf numFmtId="0" fontId="0" fillId="0" borderId="34" xfId="0" applyFont="1" applyFill="1" applyBorder="1"/>
    <xf numFmtId="43" fontId="0" fillId="0" borderId="30" xfId="0" applyNumberFormat="1" applyFont="1" applyBorder="1"/>
    <xf numFmtId="43" fontId="8" fillId="0" borderId="14" xfId="18" applyFont="1" applyBorder="1"/>
    <xf numFmtId="0" fontId="42" fillId="0" borderId="0" xfId="0" applyFont="1" applyFill="1" applyBorder="1"/>
    <xf numFmtId="0" fontId="0" fillId="0" borderId="11" xfId="0" applyFont="1" applyBorder="1" applyAlignment="1">
      <alignment horizontal="left" indent="1"/>
    </xf>
    <xf numFmtId="165" fontId="0" fillId="0" borderId="14" xfId="18" applyNumberFormat="1" applyFont="1" applyBorder="1" applyAlignment="1">
      <alignment horizontal="right"/>
    </xf>
    <xf numFmtId="164" fontId="8" fillId="7" borderId="14" xfId="0" applyNumberFormat="1" applyFont="1" applyFill="1" applyBorder="1" applyAlignment="1">
      <alignment horizontal="right"/>
    </xf>
    <xf numFmtId="9" fontId="8" fillId="0" borderId="14" xfId="19" applyFont="1" applyFill="1" applyBorder="1"/>
    <xf numFmtId="9" fontId="8" fillId="7" borderId="14" xfId="19" applyFont="1" applyFill="1" applyBorder="1"/>
    <xf numFmtId="0" fontId="20" fillId="11" borderId="12" xfId="22" applyFont="1" applyFill="1" applyBorder="1" applyAlignment="1">
      <alignment horizontal="right"/>
    </xf>
    <xf numFmtId="0" fontId="7" fillId="4" borderId="40" xfId="22" applyBorder="1"/>
    <xf numFmtId="0" fontId="0" fillId="7" borderId="32" xfId="0" applyFont="1" applyFill="1" applyBorder="1"/>
    <xf numFmtId="165" fontId="0" fillId="0" borderId="14" xfId="18" applyNumberFormat="1" applyFont="1" applyBorder="1"/>
    <xf numFmtId="0" fontId="0" fillId="0" borderId="11" xfId="0" applyFont="1" applyFill="1" applyBorder="1"/>
    <xf numFmtId="43" fontId="0" fillId="1" borderId="2" xfId="0" applyNumberFormat="1" applyFont="1" applyFill="1" applyBorder="1"/>
    <xf numFmtId="43" fontId="0" fillId="0" borderId="2" xfId="18" applyFont="1" applyBorder="1"/>
    <xf numFmtId="164" fontId="0" fillId="7" borderId="14" xfId="0" applyNumberFormat="1" applyFont="1" applyFill="1" applyBorder="1"/>
    <xf numFmtId="0" fontId="8" fillId="7" borderId="1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7" fillId="11" borderId="12" xfId="0" applyFont="1" applyFill="1" applyBorder="1" applyAlignment="1">
      <alignment horizontal="center"/>
    </xf>
    <xf numFmtId="9" fontId="17" fillId="2" borderId="2" xfId="19" applyFont="1" applyFill="1" applyBorder="1" applyAlignment="1">
      <alignment horizontal="center"/>
    </xf>
    <xf numFmtId="9" fontId="17" fillId="7" borderId="2" xfId="19" applyFont="1" applyFill="1" applyBorder="1" applyAlignment="1">
      <alignment horizontal="center"/>
    </xf>
    <xf numFmtId="0" fontId="0" fillId="2" borderId="9" xfId="0" applyFont="1" applyFill="1" applyBorder="1"/>
    <xf numFmtId="43" fontId="8" fillId="0" borderId="2" xfId="18" applyFont="1" applyBorder="1"/>
    <xf numFmtId="0" fontId="8" fillId="0" borderId="0" xfId="0" applyFont="1" applyBorder="1"/>
    <xf numFmtId="0" fontId="25" fillId="0" borderId="0" xfId="0" applyFont="1" applyFill="1" applyBorder="1"/>
    <xf numFmtId="0" fontId="8" fillId="7" borderId="8" xfId="24" applyFont="1" applyFill="1" applyBorder="1" applyAlignment="1">
      <alignment horizontal="left" indent="1"/>
    </xf>
    <xf numFmtId="169" fontId="0" fillId="7" borderId="10" xfId="0" applyNumberFormat="1" applyFont="1" applyFill="1" applyBorder="1"/>
    <xf numFmtId="0" fontId="8" fillId="0" borderId="38" xfId="24" applyFont="1" applyFill="1" applyBorder="1" applyAlignment="1">
      <alignment horizontal="left" indent="1"/>
    </xf>
    <xf numFmtId="0" fontId="0" fillId="0" borderId="28" xfId="0" applyFont="1" applyBorder="1"/>
    <xf numFmtId="164" fontId="0" fillId="0" borderId="37" xfId="0" applyNumberFormat="1" applyFont="1" applyBorder="1"/>
    <xf numFmtId="164" fontId="0" fillId="7" borderId="10" xfId="0" applyNumberFormat="1" applyFont="1" applyFill="1" applyBorder="1"/>
    <xf numFmtId="9" fontId="0" fillId="0" borderId="37" xfId="0" applyNumberFormat="1" applyFont="1" applyBorder="1"/>
    <xf numFmtId="0" fontId="8" fillId="7" borderId="38" xfId="24" applyFont="1" applyFill="1" applyBorder="1" applyAlignment="1">
      <alignment horizontal="left" indent="1"/>
    </xf>
    <xf numFmtId="9" fontId="0" fillId="7" borderId="37" xfId="0" applyNumberFormat="1" applyFont="1" applyFill="1" applyBorder="1"/>
    <xf numFmtId="0" fontId="41" fillId="0" borderId="0" xfId="0" applyFont="1" applyBorder="1"/>
    <xf numFmtId="0" fontId="7" fillId="4" borderId="14" xfId="22" applyBorder="1" applyAlignment="1">
      <alignment horizontal="right"/>
    </xf>
    <xf numFmtId="2" fontId="0" fillId="2" borderId="10" xfId="18" applyNumberFormat="1" applyFont="1" applyFill="1" applyBorder="1"/>
    <xf numFmtId="0" fontId="4" fillId="0" borderId="32" xfId="20" applyBorder="1"/>
    <xf numFmtId="0" fontId="0" fillId="7" borderId="32" xfId="0" applyFill="1" applyBorder="1"/>
    <xf numFmtId="0" fontId="0" fillId="7" borderId="32" xfId="0" applyFont="1" applyFill="1" applyBorder="1" applyAlignment="1">
      <alignment horizontal="right"/>
    </xf>
    <xf numFmtId="0" fontId="6" fillId="12" borderId="35" xfId="0" applyFont="1" applyFill="1" applyBorder="1"/>
    <xf numFmtId="0" fontId="0" fillId="2" borderId="32" xfId="0" applyFill="1" applyBorder="1"/>
    <xf numFmtId="0" fontId="16" fillId="0" borderId="9" xfId="26" applyBorder="1"/>
    <xf numFmtId="43" fontId="0" fillId="0" borderId="7" xfId="18" applyFont="1" applyBorder="1"/>
    <xf numFmtId="43" fontId="0" fillId="7" borderId="7" xfId="18" applyFont="1" applyFill="1" applyBorder="1"/>
    <xf numFmtId="44" fontId="0" fillId="2" borderId="7" xfId="25" applyFont="1" applyFill="1" applyBorder="1"/>
    <xf numFmtId="44" fontId="6" fillId="12" borderId="14" xfId="25" applyFont="1" applyFill="1" applyBorder="1"/>
    <xf numFmtId="43" fontId="0" fillId="2" borderId="7" xfId="18" applyFont="1" applyFill="1" applyBorder="1"/>
    <xf numFmtId="44" fontId="0" fillId="7" borderId="7" xfId="0" applyNumberFormat="1" applyFont="1" applyFill="1" applyBorder="1"/>
    <xf numFmtId="165" fontId="0" fillId="0" borderId="7" xfId="0" applyNumberFormat="1" applyFont="1" applyBorder="1"/>
    <xf numFmtId="43" fontId="0" fillId="0" borderId="0" xfId="18" applyFont="1" applyBorder="1"/>
    <xf numFmtId="43" fontId="6" fillId="7" borderId="0" xfId="18" applyFont="1" applyFill="1" applyBorder="1"/>
    <xf numFmtId="43" fontId="6" fillId="7" borderId="7" xfId="18" applyFont="1" applyFill="1" applyBorder="1"/>
    <xf numFmtId="0" fontId="8" fillId="0" borderId="11" xfId="24" applyFont="1" applyFill="1" applyBorder="1" applyAlignment="1">
      <alignment horizontal="left" indent="5"/>
    </xf>
    <xf numFmtId="0" fontId="8" fillId="7" borderId="11" xfId="24" applyFont="1" applyFill="1" applyBorder="1" applyAlignment="1">
      <alignment horizontal="left" indent="5"/>
    </xf>
    <xf numFmtId="0" fontId="8" fillId="0" borderId="12" xfId="24" applyFont="1" applyFill="1" applyBorder="1" applyAlignment="1">
      <alignment horizontal="left" indent="5"/>
    </xf>
    <xf numFmtId="0" fontId="8" fillId="7" borderId="12" xfId="24" applyFont="1" applyFill="1" applyBorder="1" applyAlignment="1">
      <alignment horizontal="left" indent="5"/>
    </xf>
    <xf numFmtId="0" fontId="39" fillId="0" borderId="0" xfId="24" applyFont="1" applyFill="1" applyBorder="1" applyAlignment="1">
      <alignment horizontal="left" indent="1"/>
    </xf>
    <xf numFmtId="0" fontId="15" fillId="0" borderId="11" xfId="0" applyFont="1" applyBorder="1" applyAlignment="1">
      <alignment horizontal="left" indent="1"/>
    </xf>
    <xf numFmtId="0" fontId="15" fillId="0" borderId="12" xfId="0" applyFont="1" applyBorder="1" applyAlignment="1">
      <alignment horizontal="left" indent="1"/>
    </xf>
    <xf numFmtId="0" fontId="8" fillId="7" borderId="38" xfId="24" applyFont="1" applyFill="1" applyBorder="1" applyAlignment="1">
      <alignment horizontal="left" indent="5"/>
    </xf>
    <xf numFmtId="0" fontId="8" fillId="7" borderId="28" xfId="24" applyFont="1" applyFill="1" applyBorder="1" applyAlignment="1">
      <alignment horizontal="left" indent="5"/>
    </xf>
    <xf numFmtId="0" fontId="6" fillId="12" borderId="12" xfId="0" applyFont="1" applyFill="1" applyBorder="1" applyAlignment="1">
      <alignment horizontal="right"/>
    </xf>
    <xf numFmtId="43" fontId="6" fillId="12" borderId="12" xfId="0" applyNumberFormat="1" applyFont="1" applyFill="1" applyBorder="1"/>
    <xf numFmtId="43" fontId="6" fillId="12" borderId="14" xfId="0" applyNumberFormat="1" applyFont="1" applyFill="1" applyBorder="1"/>
    <xf numFmtId="44" fontId="8" fillId="0" borderId="14" xfId="25" applyFont="1" applyBorder="1"/>
    <xf numFmtId="44" fontId="0" fillId="0" borderId="2" xfId="25" applyFont="1" applyBorder="1"/>
    <xf numFmtId="43" fontId="0" fillId="0" borderId="5" xfId="18" applyFont="1" applyBorder="1"/>
    <xf numFmtId="43" fontId="0" fillId="7" borderId="14" xfId="18" applyFont="1" applyFill="1" applyBorder="1"/>
    <xf numFmtId="44" fontId="0" fillId="7" borderId="14" xfId="0" applyNumberFormat="1" applyFont="1" applyFill="1" applyBorder="1"/>
    <xf numFmtId="44" fontId="8" fillId="12" borderId="14" xfId="25" applyFont="1" applyFill="1" applyBorder="1"/>
    <xf numFmtId="0" fontId="7" fillId="11" borderId="33" xfId="0" applyFont="1" applyFill="1" applyBorder="1" applyAlignment="1">
      <alignment horizontal="center"/>
    </xf>
    <xf numFmtId="9" fontId="17" fillId="2" borderId="44" xfId="19" applyFont="1" applyFill="1" applyBorder="1" applyAlignment="1">
      <alignment horizontal="center"/>
    </xf>
    <xf numFmtId="9" fontId="17" fillId="7" borderId="44" xfId="19" applyFont="1" applyFill="1" applyBorder="1" applyAlignment="1">
      <alignment horizontal="center"/>
    </xf>
    <xf numFmtId="0" fontId="7" fillId="4" borderId="4" xfId="22" applyFont="1" applyBorder="1" applyAlignment="1">
      <alignment horizontal="center"/>
    </xf>
    <xf numFmtId="44" fontId="0" fillId="0" borderId="9" xfId="25" quotePrefix="1" applyFont="1" applyBorder="1"/>
    <xf numFmtId="0" fontId="7" fillId="4" borderId="3" xfId="22" applyFont="1" applyBorder="1" applyAlignment="1"/>
    <xf numFmtId="0" fontId="7" fillId="4" borderId="5" xfId="22" applyFont="1" applyBorder="1" applyAlignment="1"/>
    <xf numFmtId="9" fontId="0" fillId="7" borderId="14" xfId="19" applyFont="1" applyFill="1" applyBorder="1"/>
    <xf numFmtId="44" fontId="0" fillId="1" borderId="15" xfId="25" applyFont="1" applyFill="1" applyBorder="1"/>
    <xf numFmtId="44" fontId="0" fillId="0" borderId="15" xfId="25" applyFont="1" applyBorder="1"/>
    <xf numFmtId="44" fontId="8" fillId="12" borderId="10" xfId="25" applyFont="1" applyFill="1" applyBorder="1"/>
    <xf numFmtId="0" fontId="6" fillId="12" borderId="45" xfId="0" applyFont="1" applyFill="1" applyBorder="1"/>
    <xf numFmtId="0" fontId="6" fillId="12" borderId="46" xfId="0" applyFont="1" applyFill="1" applyBorder="1" applyAlignment="1">
      <alignment horizontal="right"/>
    </xf>
    <xf numFmtId="44" fontId="6" fillId="12" borderId="46" xfId="25" applyFont="1" applyFill="1" applyBorder="1"/>
    <xf numFmtId="44" fontId="6" fillId="12" borderId="47" xfId="25" applyFont="1" applyFill="1" applyBorder="1"/>
    <xf numFmtId="44" fontId="6" fillId="12" borderId="48" xfId="0" applyNumberFormat="1" applyFont="1" applyFill="1" applyBorder="1"/>
    <xf numFmtId="44" fontId="35" fillId="8" borderId="0" xfId="0" applyNumberFormat="1" applyFont="1" applyFill="1" applyBorder="1" applyAlignment="1">
      <alignment horizontal="left"/>
    </xf>
    <xf numFmtId="0" fontId="35" fillId="8" borderId="0" xfId="0" applyFont="1" applyFill="1" applyBorder="1" applyAlignment="1">
      <alignment horizontal="left"/>
    </xf>
    <xf numFmtId="165" fontId="36" fillId="8" borderId="23" xfId="18" applyNumberFormat="1" applyFont="1" applyFill="1" applyBorder="1" applyAlignment="1">
      <alignment horizontal="center"/>
    </xf>
    <xf numFmtId="44" fontId="36" fillId="8" borderId="23" xfId="25" applyFont="1" applyFill="1" applyBorder="1" applyAlignment="1">
      <alignment horizontal="center"/>
    </xf>
    <xf numFmtId="165" fontId="35" fillId="8" borderId="0" xfId="18" applyNumberFormat="1" applyFont="1" applyFill="1" applyBorder="1" applyAlignment="1">
      <alignment horizontal="left"/>
    </xf>
    <xf numFmtId="165" fontId="35" fillId="8" borderId="23" xfId="18" applyNumberFormat="1" applyFont="1" applyFill="1" applyBorder="1" applyAlignment="1">
      <alignment horizontal="left"/>
    </xf>
    <xf numFmtId="0" fontId="36" fillId="8" borderId="0" xfId="0" applyFont="1" applyFill="1" applyAlignment="1">
      <alignment horizontal="center"/>
    </xf>
    <xf numFmtId="0" fontId="9" fillId="2" borderId="0" xfId="0" applyFont="1" applyFill="1"/>
    <xf numFmtId="0" fontId="11" fillId="2" borderId="0" xfId="0" applyFont="1" applyFill="1"/>
    <xf numFmtId="0" fontId="10" fillId="2" borderId="0" xfId="0" applyFont="1" applyFill="1" applyBorder="1"/>
    <xf numFmtId="0" fontId="10" fillId="2" borderId="0" xfId="0" applyFont="1" applyFill="1"/>
    <xf numFmtId="0" fontId="32" fillId="2" borderId="0" xfId="0" applyFont="1" applyFill="1"/>
    <xf numFmtId="0" fontId="20" fillId="11" borderId="14" xfId="0" applyFont="1" applyFill="1" applyBorder="1"/>
    <xf numFmtId="0" fontId="20" fillId="11" borderId="2" xfId="0" applyFont="1" applyFill="1" applyBorder="1"/>
    <xf numFmtId="0" fontId="8" fillId="2" borderId="15" xfId="0" applyFont="1" applyFill="1" applyBorder="1" applyAlignment="1">
      <alignment horizontal="left"/>
    </xf>
    <xf numFmtId="0" fontId="8" fillId="7" borderId="2" xfId="0" applyFont="1" applyFill="1" applyBorder="1" applyAlignment="1">
      <alignment horizontal="left"/>
    </xf>
    <xf numFmtId="0" fontId="9" fillId="8" borderId="0" xfId="0" applyFont="1" applyFill="1" applyAlignment="1">
      <alignment horizontal="left" indent="2"/>
    </xf>
    <xf numFmtId="2" fontId="0" fillId="0" borderId="0" xfId="0" applyNumberFormat="1" applyFont="1" applyBorder="1"/>
    <xf numFmtId="9" fontId="0" fillId="0" borderId="4" xfId="19" applyFont="1" applyBorder="1"/>
    <xf numFmtId="9" fontId="0" fillId="7" borderId="12" xfId="19" applyFont="1" applyFill="1" applyBorder="1"/>
    <xf numFmtId="9" fontId="0" fillId="0" borderId="9" xfId="19" applyFont="1" applyBorder="1"/>
    <xf numFmtId="0" fontId="8" fillId="2" borderId="8" xfId="24" applyFont="1" applyFill="1" applyBorder="1" applyAlignment="1">
      <alignment horizontal="left" indent="1"/>
    </xf>
    <xf numFmtId="164" fontId="0" fillId="2" borderId="10" xfId="0" applyNumberFormat="1" applyFont="1" applyFill="1" applyBorder="1"/>
    <xf numFmtId="9" fontId="0" fillId="0" borderId="14" xfId="19" applyFont="1" applyBorder="1"/>
    <xf numFmtId="0" fontId="36" fillId="8" borderId="0" xfId="0" applyFont="1" applyFill="1" applyAlignment="1">
      <alignment horizontal="left"/>
    </xf>
    <xf numFmtId="9" fontId="0" fillId="0" borderId="5" xfId="19" applyFont="1" applyBorder="1"/>
    <xf numFmtId="9" fontId="0" fillId="15" borderId="2" xfId="19" applyFont="1" applyFill="1" applyBorder="1"/>
    <xf numFmtId="0" fontId="20" fillId="11" borderId="12" xfId="24" applyFont="1" applyFill="1" applyBorder="1" applyAlignment="1">
      <alignment horizontal="left"/>
    </xf>
    <xf numFmtId="0" fontId="20" fillId="11" borderId="14" xfId="24" applyFont="1" applyFill="1" applyBorder="1" applyAlignment="1">
      <alignment horizontal="left"/>
    </xf>
    <xf numFmtId="0" fontId="7" fillId="4" borderId="34" xfId="22" applyBorder="1"/>
    <xf numFmtId="0" fontId="0" fillId="8" borderId="0" xfId="0" applyFill="1" applyAlignment="1"/>
    <xf numFmtId="0" fontId="8" fillId="7" borderId="14" xfId="21" applyFont="1" applyFill="1" applyBorder="1" applyAlignment="1">
      <alignment horizontal="right" indent="1"/>
    </xf>
    <xf numFmtId="0" fontId="8" fillId="0" borderId="12" xfId="21" applyFont="1" applyFill="1" applyBorder="1" applyAlignment="1">
      <alignment horizontal="right" indent="1"/>
    </xf>
    <xf numFmtId="0" fontId="8" fillId="0" borderId="14" xfId="21" applyFont="1" applyFill="1" applyBorder="1" applyAlignment="1">
      <alignment horizontal="right" indent="1"/>
    </xf>
    <xf numFmtId="9" fontId="8" fillId="0" borderId="2" xfId="19" applyFont="1" applyFill="1" applyBorder="1" applyAlignment="1">
      <alignment horizontal="right"/>
    </xf>
    <xf numFmtId="8" fontId="0" fillId="0" borderId="0" xfId="0" applyNumberFormat="1" applyFont="1"/>
    <xf numFmtId="0" fontId="18" fillId="0" borderId="49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43" fontId="8" fillId="0" borderId="2" xfId="18" applyFont="1" applyFill="1" applyBorder="1" applyAlignment="1">
      <alignment horizontal="right"/>
    </xf>
    <xf numFmtId="43" fontId="0" fillId="0" borderId="14" xfId="18" applyNumberFormat="1" applyFont="1" applyBorder="1"/>
    <xf numFmtId="39" fontId="0" fillId="0" borderId="14" xfId="18" applyNumberFormat="1" applyFont="1" applyBorder="1" applyAlignment="1"/>
    <xf numFmtId="39" fontId="0" fillId="0" borderId="34" xfId="0" applyNumberFormat="1" applyFont="1" applyBorder="1"/>
    <xf numFmtId="9" fontId="0" fillId="2" borderId="10" xfId="19" applyFont="1" applyFill="1" applyBorder="1"/>
    <xf numFmtId="0" fontId="8" fillId="7" borderId="6" xfId="24" applyFont="1" applyFill="1" applyBorder="1" applyAlignment="1">
      <alignment horizontal="left" indent="5"/>
    </xf>
    <xf numFmtId="170" fontId="0" fillId="0" borderId="12" xfId="18" applyNumberFormat="1" applyFont="1" applyBorder="1" applyAlignment="1">
      <alignment horizontal="center"/>
    </xf>
    <xf numFmtId="43" fontId="0" fillId="16" borderId="2" xfId="0" applyNumberFormat="1" applyFont="1" applyFill="1" applyBorder="1"/>
    <xf numFmtId="43" fontId="0" fillId="0" borderId="0" xfId="0" applyNumberFormat="1" applyFont="1"/>
    <xf numFmtId="9" fontId="8" fillId="0" borderId="14" xfId="21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/>
    </xf>
    <xf numFmtId="9" fontId="9" fillId="2" borderId="11" xfId="19" applyFont="1" applyFill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165" fontId="9" fillId="2" borderId="11" xfId="18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9" fontId="9" fillId="2" borderId="11" xfId="0" applyNumberFormat="1" applyFont="1" applyFill="1" applyBorder="1" applyAlignment="1">
      <alignment horizontal="center"/>
    </xf>
    <xf numFmtId="165" fontId="9" fillId="2" borderId="11" xfId="18" applyNumberFormat="1" applyFont="1" applyFill="1" applyBorder="1" applyAlignment="1">
      <alignment horizontal="center" vertical="center"/>
    </xf>
    <xf numFmtId="165" fontId="0" fillId="0" borderId="14" xfId="18" applyNumberFormat="1" applyFont="1" applyBorder="1" applyAlignment="1">
      <alignment horizontal="center"/>
    </xf>
    <xf numFmtId="0" fontId="36" fillId="8" borderId="0" xfId="0" applyFont="1" applyFill="1"/>
    <xf numFmtId="44" fontId="36" fillId="8" borderId="0" xfId="25" applyFont="1" applyFill="1" applyBorder="1" applyAlignment="1">
      <alignment horizontal="center"/>
    </xf>
    <xf numFmtId="0" fontId="12" fillId="8" borderId="0" xfId="0" applyFont="1" applyFill="1" applyBorder="1"/>
    <xf numFmtId="0" fontId="20" fillId="11" borderId="11" xfId="24" applyFont="1" applyFill="1" applyBorder="1" applyAlignment="1">
      <alignment horizontal="left"/>
    </xf>
    <xf numFmtId="0" fontId="34" fillId="0" borderId="9" xfId="27" applyFont="1" applyFill="1" applyBorder="1" applyAlignment="1">
      <alignment horizontal="left"/>
    </xf>
    <xf numFmtId="0" fontId="34" fillId="7" borderId="12" xfId="27" applyFont="1" applyFill="1" applyBorder="1" applyAlignment="1">
      <alignment horizontal="left"/>
    </xf>
    <xf numFmtId="0" fontId="34" fillId="0" borderId="12" xfId="27" applyFont="1" applyFill="1" applyBorder="1" applyAlignment="1">
      <alignment horizontal="left"/>
    </xf>
    <xf numFmtId="0" fontId="20" fillId="11" borderId="40" xfId="22" applyFont="1" applyFill="1" applyBorder="1"/>
    <xf numFmtId="165" fontId="0" fillId="0" borderId="14" xfId="0" applyNumberFormat="1" applyFont="1" applyBorder="1"/>
    <xf numFmtId="0" fontId="8" fillId="7" borderId="37" xfId="24" applyFont="1" applyFill="1" applyBorder="1" applyAlignment="1">
      <alignment horizontal="left" indent="5"/>
    </xf>
    <xf numFmtId="0" fontId="8" fillId="7" borderId="8" xfId="24" applyFont="1" applyFill="1" applyBorder="1" applyAlignment="1">
      <alignment horizontal="left" indent="5"/>
    </xf>
    <xf numFmtId="9" fontId="0" fillId="0" borderId="10" xfId="0" applyNumberFormat="1" applyFont="1" applyBorder="1"/>
    <xf numFmtId="2" fontId="0" fillId="0" borderId="7" xfId="0" applyNumberFormat="1" applyFont="1" applyBorder="1"/>
    <xf numFmtId="0" fontId="0" fillId="14" borderId="11" xfId="0" applyFont="1" applyFill="1" applyBorder="1"/>
    <xf numFmtId="0" fontId="0" fillId="14" borderId="12" xfId="0" applyFont="1" applyFill="1" applyBorder="1"/>
    <xf numFmtId="0" fontId="0" fillId="14" borderId="14" xfId="0" applyFont="1" applyFill="1" applyBorder="1"/>
    <xf numFmtId="0" fontId="0" fillId="14" borderId="8" xfId="0" applyFont="1" applyFill="1" applyBorder="1"/>
    <xf numFmtId="0" fontId="0" fillId="14" borderId="9" xfId="0" applyFont="1" applyFill="1" applyBorder="1"/>
    <xf numFmtId="0" fontId="0" fillId="14" borderId="10" xfId="0" applyFont="1" applyFill="1" applyBorder="1"/>
    <xf numFmtId="2" fontId="0" fillId="0" borderId="3" xfId="0" applyNumberFormat="1" applyFont="1" applyBorder="1"/>
    <xf numFmtId="2" fontId="0" fillId="7" borderId="11" xfId="0" applyNumberFormat="1" applyFont="1" applyFill="1" applyBorder="1"/>
    <xf numFmtId="2" fontId="0" fillId="7" borderId="14" xfId="0" applyNumberFormat="1" applyFont="1" applyFill="1" applyBorder="1"/>
    <xf numFmtId="2" fontId="0" fillId="0" borderId="8" xfId="0" applyNumberFormat="1" applyFont="1" applyBorder="1"/>
    <xf numFmtId="0" fontId="0" fillId="11" borderId="4" xfId="0" applyFont="1" applyFill="1" applyBorder="1"/>
    <xf numFmtId="0" fontId="0" fillId="11" borderId="5" xfId="0" applyFont="1" applyFill="1" applyBorder="1"/>
    <xf numFmtId="0" fontId="7" fillId="11" borderId="33" xfId="0" applyFont="1" applyFill="1" applyBorder="1" applyAlignment="1">
      <alignment horizontal="right"/>
    </xf>
    <xf numFmtId="165" fontId="0" fillId="0" borderId="27" xfId="18" applyNumberFormat="1" applyFont="1" applyBorder="1"/>
    <xf numFmtId="0" fontId="8" fillId="7" borderId="33" xfId="0" applyFont="1" applyFill="1" applyBorder="1" applyAlignment="1">
      <alignment horizontal="right"/>
    </xf>
    <xf numFmtId="0" fontId="8" fillId="2" borderId="33" xfId="0" applyFont="1" applyFill="1" applyBorder="1" applyAlignment="1">
      <alignment horizontal="right"/>
    </xf>
    <xf numFmtId="43" fontId="0" fillId="0" borderId="33" xfId="18" applyFont="1" applyBorder="1"/>
    <xf numFmtId="0" fontId="41" fillId="0" borderId="32" xfId="0" applyFont="1" applyBorder="1"/>
    <xf numFmtId="0" fontId="7" fillId="11" borderId="40" xfId="0" applyFont="1" applyFill="1" applyBorder="1"/>
    <xf numFmtId="0" fontId="0" fillId="0" borderId="35" xfId="24" applyFont="1" applyFill="1" applyBorder="1" applyAlignment="1">
      <alignment horizontal="left" indent="1"/>
    </xf>
    <xf numFmtId="0" fontId="0" fillId="7" borderId="35" xfId="24" applyFont="1" applyFill="1" applyBorder="1" applyAlignment="1">
      <alignment horizontal="left" indent="1"/>
    </xf>
    <xf numFmtId="0" fontId="20" fillId="11" borderId="11" xfId="24" applyFont="1" applyFill="1" applyBorder="1" applyAlignment="1"/>
    <xf numFmtId="0" fontId="0" fillId="11" borderId="12" xfId="0" applyFill="1" applyBorder="1" applyAlignment="1"/>
    <xf numFmtId="0" fontId="0" fillId="11" borderId="14" xfId="0" applyFill="1" applyBorder="1" applyAlignment="1"/>
    <xf numFmtId="0" fontId="20" fillId="11" borderId="11" xfId="22" applyFont="1" applyFill="1" applyBorder="1" applyAlignment="1"/>
    <xf numFmtId="0" fontId="0" fillId="7" borderId="26" xfId="0" applyFont="1" applyFill="1" applyBorder="1"/>
    <xf numFmtId="2" fontId="0" fillId="7" borderId="10" xfId="0" applyNumberFormat="1" applyFont="1" applyFill="1" applyBorder="1"/>
    <xf numFmtId="9" fontId="0" fillId="2" borderId="14" xfId="19" applyFont="1" applyFill="1" applyBorder="1"/>
    <xf numFmtId="44" fontId="8" fillId="12" borderId="5" xfId="25" applyFont="1" applyFill="1" applyBorder="1"/>
    <xf numFmtId="0" fontId="0" fillId="7" borderId="3" xfId="0" applyFill="1" applyBorder="1"/>
    <xf numFmtId="43" fontId="0" fillId="7" borderId="5" xfId="18" applyNumberFormat="1" applyFont="1" applyFill="1" applyBorder="1"/>
    <xf numFmtId="44" fontId="0" fillId="7" borderId="5" xfId="25" applyFont="1" applyFill="1" applyBorder="1"/>
    <xf numFmtId="44" fontId="0" fillId="17" borderId="13" xfId="25" applyFont="1" applyFill="1" applyBorder="1"/>
    <xf numFmtId="165" fontId="0" fillId="7" borderId="14" xfId="18" applyNumberFormat="1" applyFont="1" applyFill="1" applyBorder="1"/>
    <xf numFmtId="44" fontId="0" fillId="7" borderId="15" xfId="25" applyFont="1" applyFill="1" applyBorder="1"/>
    <xf numFmtId="44" fontId="0" fillId="17" borderId="2" xfId="25" applyFont="1" applyFill="1" applyBorder="1"/>
    <xf numFmtId="0" fontId="0" fillId="7" borderId="13" xfId="0" applyFont="1" applyFill="1" applyBorder="1"/>
    <xf numFmtId="44" fontId="0" fillId="7" borderId="16" xfId="25" applyFont="1" applyFill="1" applyBorder="1"/>
    <xf numFmtId="44" fontId="0" fillId="0" borderId="32" xfId="0" applyNumberFormat="1" applyFont="1" applyBorder="1"/>
    <xf numFmtId="0" fontId="0" fillId="0" borderId="14" xfId="0" applyFont="1" applyBorder="1" applyAlignment="1">
      <alignment horizontal="right"/>
    </xf>
    <xf numFmtId="0" fontId="43" fillId="8" borderId="0" xfId="0" applyFont="1" applyFill="1"/>
    <xf numFmtId="0" fontId="0" fillId="0" borderId="0" xfId="0" applyBorder="1" applyAlignment="1">
      <alignment wrapText="1"/>
    </xf>
    <xf numFmtId="0" fontId="0" fillId="0" borderId="6" xfId="0" applyBorder="1" applyAlignment="1"/>
    <xf numFmtId="0" fontId="7" fillId="4" borderId="5" xfId="22" applyBorder="1" applyAlignment="1">
      <alignment horizontal="center"/>
    </xf>
    <xf numFmtId="44" fontId="0" fillId="5" borderId="7" xfId="25" applyFont="1" applyFill="1" applyBorder="1" applyAlignment="1">
      <alignment horizontal="left"/>
    </xf>
    <xf numFmtId="0" fontId="7" fillId="4" borderId="3" xfId="22" applyFont="1" applyBorder="1"/>
    <xf numFmtId="14" fontId="0" fillId="0" borderId="6" xfId="0" applyNumberFormat="1" applyBorder="1"/>
    <xf numFmtId="14" fontId="0" fillId="0" borderId="8" xfId="0" applyNumberFormat="1" applyBorder="1"/>
    <xf numFmtId="0" fontId="0" fillId="0" borderId="3" xfId="0" applyBorder="1" applyAlignment="1"/>
    <xf numFmtId="0" fontId="0" fillId="0" borderId="4" xfId="0" applyBorder="1" applyAlignment="1">
      <alignment wrapText="1"/>
    </xf>
    <xf numFmtId="0" fontId="0" fillId="11" borderId="33" xfId="0" applyFill="1" applyBorder="1" applyAlignment="1"/>
    <xf numFmtId="0" fontId="8" fillId="0" borderId="33" xfId="21" applyFont="1" applyFill="1" applyBorder="1" applyAlignment="1">
      <alignment horizontal="right" indent="1"/>
    </xf>
    <xf numFmtId="0" fontId="8" fillId="7" borderId="33" xfId="21" applyFont="1" applyFill="1" applyBorder="1" applyAlignment="1">
      <alignment horizontal="right" indent="1"/>
    </xf>
    <xf numFmtId="165" fontId="0" fillId="0" borderId="33" xfId="18" applyNumberFormat="1" applyFont="1" applyBorder="1" applyAlignment="1">
      <alignment horizontal="center"/>
    </xf>
    <xf numFmtId="0" fontId="20" fillId="11" borderId="35" xfId="22" applyFont="1" applyFill="1" applyBorder="1" applyAlignment="1"/>
    <xf numFmtId="0" fontId="20" fillId="11" borderId="12" xfId="22" applyFont="1" applyFill="1" applyBorder="1" applyAlignment="1"/>
    <xf numFmtId="0" fontId="20" fillId="11" borderId="14" xfId="22" applyFont="1" applyFill="1" applyBorder="1" applyAlignment="1"/>
    <xf numFmtId="0" fontId="20" fillId="11" borderId="33" xfId="22" applyFont="1" applyFill="1" applyBorder="1" applyAlignment="1"/>
    <xf numFmtId="0" fontId="0" fillId="0" borderId="25" xfId="0" applyFont="1" applyFill="1" applyBorder="1"/>
    <xf numFmtId="0" fontId="0" fillId="0" borderId="1" xfId="0" applyFont="1" applyBorder="1"/>
    <xf numFmtId="0" fontId="8" fillId="2" borderId="56" xfId="0" applyFont="1" applyFill="1" applyBorder="1" applyAlignment="1">
      <alignment horizontal="left"/>
    </xf>
    <xf numFmtId="0" fontId="8" fillId="2" borderId="57" xfId="0" applyFont="1" applyFill="1" applyBorder="1" applyAlignment="1">
      <alignment horizontal="right"/>
    </xf>
    <xf numFmtId="0" fontId="0" fillId="0" borderId="22" xfId="0" applyFont="1" applyFill="1" applyBorder="1"/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9" fillId="2" borderId="11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protection locked="0"/>
    </xf>
    <xf numFmtId="0" fontId="44" fillId="2" borderId="11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9" fontId="9" fillId="2" borderId="11" xfId="19" applyFont="1" applyFill="1" applyBorder="1" applyAlignment="1" applyProtection="1">
      <alignment horizontal="center"/>
      <protection locked="0"/>
    </xf>
    <xf numFmtId="9" fontId="9" fillId="2" borderId="11" xfId="0" applyNumberFormat="1" applyFont="1" applyFill="1" applyBorder="1" applyAlignment="1" applyProtection="1">
      <alignment horizontal="center"/>
      <protection locked="0"/>
    </xf>
    <xf numFmtId="0" fontId="9" fillId="2" borderId="11" xfId="0" applyNumberFormat="1" applyFont="1" applyFill="1" applyBorder="1" applyAlignment="1" applyProtection="1">
      <alignment horizontal="center"/>
      <protection locked="0"/>
    </xf>
    <xf numFmtId="165" fontId="9" fillId="2" borderId="11" xfId="18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31" fillId="13" borderId="52" xfId="0" applyFont="1" applyFill="1" applyBorder="1" applyAlignment="1">
      <alignment horizontal="center" vertical="center" wrapText="1"/>
    </xf>
    <xf numFmtId="0" fontId="31" fillId="13" borderId="24" xfId="0" applyFont="1" applyFill="1" applyBorder="1" applyAlignment="1">
      <alignment horizontal="center" vertical="center" wrapText="1"/>
    </xf>
    <xf numFmtId="0" fontId="31" fillId="13" borderId="53" xfId="0" applyFont="1" applyFill="1" applyBorder="1" applyAlignment="1">
      <alignment horizontal="center" vertical="center" wrapText="1"/>
    </xf>
    <xf numFmtId="0" fontId="31" fillId="13" borderId="54" xfId="0" applyFont="1" applyFill="1" applyBorder="1" applyAlignment="1">
      <alignment horizontal="center" vertical="center" wrapText="1"/>
    </xf>
    <xf numFmtId="0" fontId="31" fillId="13" borderId="23" xfId="0" applyFont="1" applyFill="1" applyBorder="1" applyAlignment="1">
      <alignment horizontal="center" vertical="center" wrapText="1"/>
    </xf>
    <xf numFmtId="0" fontId="31" fillId="13" borderId="55" xfId="0" applyFont="1" applyFill="1" applyBorder="1" applyAlignment="1">
      <alignment horizontal="center" vertical="center" wrapText="1"/>
    </xf>
    <xf numFmtId="0" fontId="7" fillId="4" borderId="3" xfId="22" applyBorder="1" applyAlignment="1">
      <alignment horizontal="center"/>
    </xf>
    <xf numFmtId="0" fontId="7" fillId="4" borderId="5" xfId="22" applyBorder="1" applyAlignment="1">
      <alignment horizontal="center"/>
    </xf>
    <xf numFmtId="0" fontId="7" fillId="11" borderId="3" xfId="22" applyFont="1" applyFill="1" applyBorder="1" applyAlignment="1">
      <alignment horizontal="center"/>
    </xf>
    <xf numFmtId="0" fontId="7" fillId="11" borderId="5" xfId="22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" xfId="0" applyFont="1" applyBorder="1" applyAlignment="1">
      <alignment horizontal="center"/>
    </xf>
    <xf numFmtId="0" fontId="20" fillId="4" borderId="11" xfId="22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44" fontId="35" fillId="2" borderId="0" xfId="0" applyNumberFormat="1" applyFont="1" applyFill="1"/>
    <xf numFmtId="0" fontId="35" fillId="2" borderId="0" xfId="0" applyFont="1" applyFill="1"/>
    <xf numFmtId="1" fontId="8" fillId="7" borderId="14" xfId="21" applyNumberFormat="1" applyFont="1" applyFill="1" applyBorder="1"/>
    <xf numFmtId="1" fontId="9" fillId="2" borderId="11" xfId="0" applyNumberFormat="1" applyFont="1" applyFill="1" applyBorder="1" applyAlignment="1">
      <alignment horizontal="center"/>
    </xf>
  </cellXfs>
  <cellStyles count="28">
    <cellStyle name="20% - Accent3" xfId="24" builtinId="38"/>
    <cellStyle name="40% - Accent2" xfId="23" builtinId="35"/>
    <cellStyle name="Accent2" xfId="22" builtinId="33"/>
    <cellStyle name="Comma" xfId="18" builtinId="3"/>
    <cellStyle name="Comma [0] 2" xfId="4" xr:uid="{00000000-0005-0000-0000-000001000000}"/>
    <cellStyle name="Comma 2" xfId="8" xr:uid="{00000000-0005-0000-0000-00002F000000}"/>
    <cellStyle name="Currency" xfId="25" builtinId="4"/>
    <cellStyle name="Heading 3" xfId="20" builtinId="18"/>
    <cellStyle name="Hyperlink" xfId="26" builtinId="8"/>
    <cellStyle name="Input" xfId="21" builtinId="20"/>
    <cellStyle name="Normal" xfId="0" builtinId="0"/>
    <cellStyle name="Normal 10" xfId="16" xr:uid="{00000000-0005-0000-0000-000003000000}"/>
    <cellStyle name="Normal 11" xfId="17" xr:uid="{00000000-0005-0000-0000-000004000000}"/>
    <cellStyle name="Normal 12" xfId="1" xr:uid="{00000000-0005-0000-0000-000031000000}"/>
    <cellStyle name="Normal 13" xfId="27" xr:uid="{00000000-0005-0000-0000-000042000000}"/>
    <cellStyle name="Normal 2" xfId="2" xr:uid="{00000000-0005-0000-0000-000005000000}"/>
    <cellStyle name="Normal 3" xfId="3" xr:uid="{00000000-0005-0000-0000-000006000000}"/>
    <cellStyle name="Normal 4" xfId="10" xr:uid="{00000000-0005-0000-0000-000007000000}"/>
    <cellStyle name="Normal 5" xfId="11" xr:uid="{00000000-0005-0000-0000-000008000000}"/>
    <cellStyle name="Normal 6" xfId="12" xr:uid="{00000000-0005-0000-0000-000009000000}"/>
    <cellStyle name="Normal 7" xfId="13" xr:uid="{00000000-0005-0000-0000-00000A000000}"/>
    <cellStyle name="Normal 8" xfId="14" xr:uid="{00000000-0005-0000-0000-00000B000000}"/>
    <cellStyle name="Normal 9" xfId="15" xr:uid="{00000000-0005-0000-0000-00000C000000}"/>
    <cellStyle name="Percent" xfId="19" builtinId="5"/>
    <cellStyle name="Percent 2" xfId="9" xr:uid="{00000000-0005-0000-0000-00003C000000}"/>
    <cellStyle name="桁区切り 2" xfId="6" xr:uid="{00000000-0005-0000-0000-00000E000000}"/>
    <cellStyle name="桁区切り 3" xfId="7" xr:uid="{00000000-0005-0000-0000-00000F000000}"/>
    <cellStyle name="標準 2" xfId="5" xr:uid="{00000000-0005-0000-0000-000010000000}"/>
  </cellStyles>
  <dxfs count="10">
    <dxf>
      <font>
        <color rgb="FFFF0000"/>
      </font>
    </dxf>
    <dxf>
      <fill>
        <patternFill patternType="mediumGray"/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Energy Usage </a:t>
            </a:r>
            <a:r>
              <a:rPr lang="en-US" sz="1600" b="1" i="0" u="none" strike="noStrike" baseline="0">
                <a:effectLst/>
              </a:rPr>
              <a:t>(mmBtu)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343888668592687E-2"/>
          <c:y val="0.18300925925925926"/>
          <c:w val="0.64048626295813738"/>
          <c:h val="0.76606481481481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'Energy Savings Calculator'!$Y$27</c:f>
              <c:strCache>
                <c:ptCount val="1"/>
                <c:pt idx="0">
                  <c:v>Fuel oil Heating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('Energy Savings Calculator'!$AE$27,'Energy Savings Calculator'!$AE$32)</c:f>
              <c:numCache>
                <c:formatCode>_(* #,##0_);_(* \(#,##0\);_(* "-"??_);_(@_)</c:formatCode>
                <c:ptCount val="2"/>
                <c:pt idx="0">
                  <c:v>108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8-4DD6-8473-F857F6347BB4}"/>
            </c:ext>
          </c:extLst>
        </c:ser>
        <c:ser>
          <c:idx val="2"/>
          <c:order val="1"/>
          <c:tx>
            <c:v>ASHP Heating</c:v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('Energy Savings Calculator'!$AD$30,'Energy Savings Calculator'!$AE$30)</c:f>
              <c:numCache>
                <c:formatCode>_(* #,##0_);_(* \(#,##0\);_(* "-"??_);_(@_)</c:formatCode>
                <c:ptCount val="2"/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B8-4DD6-8473-F857F6347BB4}"/>
            </c:ext>
          </c:extLst>
        </c:ser>
        <c:ser>
          <c:idx val="1"/>
          <c:order val="2"/>
          <c:tx>
            <c:strRef>
              <c:f>'Energy Savings Calculator'!$Y$28</c:f>
              <c:strCache>
                <c:ptCount val="1"/>
                <c:pt idx="0">
                  <c:v>Central AC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D95-4BA3-865F-56B99CFD1E84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CF5-4C93-846E-CE855234F2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('Energy Savings Calculator'!$AE$28,'Energy Savings Calculator'!$AE$33)</c:f>
              <c:numCache>
                <c:formatCode>_(* #,##0_);_(* \(#,##0\);_(* "-"??_);_(@_)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8-4DD6-8473-F857F6347BB4}"/>
            </c:ext>
          </c:extLst>
        </c:ser>
        <c:ser>
          <c:idx val="3"/>
          <c:order val="3"/>
          <c:tx>
            <c:v>ASHP Cooling</c:v>
          </c:tx>
          <c:spPr>
            <a:solidFill>
              <a:srgbClr val="00B0F0"/>
            </a:solidFill>
            <a:ln>
              <a:solidFill>
                <a:schemeClr val="bg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('Energy Savings Calculator'!$AD$31,'Energy Savings Calculator'!$AE$31)</c:f>
              <c:numCache>
                <c:formatCode>_(* #,##0_);_(* \(#,##0\);_(* "-"??_);_(@_)</c:formatCode>
                <c:ptCount val="2"/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B8-4DD6-8473-F857F6347B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381306272"/>
        <c:axId val="1589532400"/>
      </c:barChart>
      <c:catAx>
        <c:axId val="138130627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589532400"/>
        <c:crosses val="autoZero"/>
        <c:auto val="1"/>
        <c:lblAlgn val="ctr"/>
        <c:lblOffset val="100"/>
        <c:noMultiLvlLbl val="0"/>
      </c:catAx>
      <c:valAx>
        <c:axId val="158953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30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20963386770898"/>
          <c:y val="0.39532334499854183"/>
          <c:w val="0.23202307160787736"/>
          <c:h val="0.33860857241492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Energy Costs</a:t>
            </a:r>
            <a:r>
              <a:rPr lang="en-US" baseline="0"/>
              <a:t> ($)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'Energy Savings Calculator'!$O$26</c:f>
              <c:strCache>
                <c:ptCount val="1"/>
                <c:pt idx="0">
                  <c:v>Fuel oil Heating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'Energy Savings Calculator'!$P$39:$Q$39</c:f>
              <c:numCache>
                <c:formatCode>General</c:formatCode>
                <c:ptCount val="2"/>
              </c:numCache>
            </c:numRef>
          </c:cat>
          <c:val>
            <c:numRef>
              <c:f>('Energy Savings Calculator'!$U$26,'Energy Savings Calculator'!$U$32)</c:f>
              <c:numCache>
                <c:formatCode>_("$"* #,##0.00_);_("$"* \(#,##0.00\);_("$"* "-"??_);_(@_)</c:formatCode>
                <c:ptCount val="2"/>
                <c:pt idx="0">
                  <c:v>2602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F2-42AE-8226-E8C4AC013722}"/>
            </c:ext>
          </c:extLst>
        </c:ser>
        <c:ser>
          <c:idx val="2"/>
          <c:order val="1"/>
          <c:tx>
            <c:v>ASHP Heating</c:v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'Energy Savings Calculator'!$P$39:$Q$39</c:f>
              <c:numCache>
                <c:formatCode>General</c:formatCode>
                <c:ptCount val="2"/>
              </c:numCache>
            </c:numRef>
          </c:cat>
          <c:val>
            <c:numRef>
              <c:f>('Energy Savings Calculator'!$T$30,'Energy Savings Calculator'!$U$30)</c:f>
              <c:numCache>
                <c:formatCode>_("$"* #,##0.00_);_("$"* \(#,##0.00\);_("$"* "-"??_);_(@_)</c:formatCode>
                <c:ptCount val="2"/>
                <c:pt idx="1">
                  <c:v>1991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F2-42AE-8226-E8C4AC013722}"/>
            </c:ext>
          </c:extLst>
        </c:ser>
        <c:ser>
          <c:idx val="1"/>
          <c:order val="2"/>
          <c:tx>
            <c:strRef>
              <c:f>'Energy Savings Calculator'!$O$27</c:f>
              <c:strCache>
                <c:ptCount val="1"/>
                <c:pt idx="0">
                  <c:v>Central AC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'Energy Savings Calculator'!$P$39:$Q$39</c:f>
              <c:numCache>
                <c:formatCode>General</c:formatCode>
                <c:ptCount val="2"/>
              </c:numCache>
            </c:numRef>
          </c:cat>
          <c:val>
            <c:numRef>
              <c:f>('Energy Savings Calculator'!$U$27,'Energy Savings Calculator'!$U$33)</c:f>
              <c:numCache>
                <c:formatCode>_("$"* #,##0.00_);_("$"* \(#,##0.00\);_("$"* "-"??_);_(@_)</c:formatCode>
                <c:ptCount val="2"/>
                <c:pt idx="0">
                  <c:v>283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F2-42AE-8226-E8C4AC013722}"/>
            </c:ext>
          </c:extLst>
        </c:ser>
        <c:ser>
          <c:idx val="3"/>
          <c:order val="3"/>
          <c:tx>
            <c:v>ASHP Cooling</c:v>
          </c:tx>
          <c:spPr>
            <a:solidFill>
              <a:srgbClr val="00B0F0"/>
            </a:solidFill>
            <a:ln>
              <a:solidFill>
                <a:schemeClr val="bg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'Energy Savings Calculator'!$P$39:$Q$39</c:f>
              <c:numCache>
                <c:formatCode>General</c:formatCode>
                <c:ptCount val="2"/>
              </c:numCache>
            </c:numRef>
          </c:cat>
          <c:val>
            <c:numRef>
              <c:f>('Energy Savings Calculator'!$T$31,'Energy Savings Calculator'!$U$31)</c:f>
              <c:numCache>
                <c:formatCode>_("$"* #,##0.00_);_("$"* \(#,##0.00\);_("$"* "-"??_);_(@_)</c:formatCode>
                <c:ptCount val="2"/>
                <c:pt idx="1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F2-42AE-8226-E8C4AC01372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597649376"/>
        <c:axId val="1379804288"/>
      </c:barChart>
      <c:catAx>
        <c:axId val="159764937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379804288"/>
        <c:crosses val="autoZero"/>
        <c:auto val="1"/>
        <c:lblAlgn val="ctr"/>
        <c:lblOffset val="100"/>
        <c:noMultiLvlLbl val="0"/>
      </c:catAx>
      <c:valAx>
        <c:axId val="137980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764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405244</xdr:colOff>
      <xdr:row>2</xdr:row>
      <xdr:rowOff>139699</xdr:rowOff>
    </xdr:from>
    <xdr:to>
      <xdr:col>6</xdr:col>
      <xdr:colOff>2164772</xdr:colOff>
      <xdr:row>6</xdr:row>
      <xdr:rowOff>34637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366DFA-ABB8-3F41-BED6-D7016F098946}"/>
            </a:ext>
          </a:extLst>
        </xdr:cNvPr>
        <xdr:cNvSpPr txBox="1"/>
      </xdr:nvSpPr>
      <xdr:spPr>
        <a:xfrm>
          <a:off x="3314699" y="624608"/>
          <a:ext cx="4236028" cy="8647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>
              <a:solidFill>
                <a:schemeClr val="accent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Energy</a:t>
          </a:r>
          <a:r>
            <a:rPr lang="en-US" sz="2400" b="1" baseline="0">
              <a:solidFill>
                <a:schemeClr val="accent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Savings Calculator:</a:t>
          </a:r>
        </a:p>
        <a:p>
          <a:pPr algn="ctr"/>
          <a:r>
            <a:rPr lang="en-US" sz="2400" b="0" baseline="0">
              <a:solidFill>
                <a:schemeClr val="bg2">
                  <a:lumMod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NYC ASHP Measure</a:t>
          </a:r>
        </a:p>
      </xdr:txBody>
    </xdr:sp>
    <xdr:clientData/>
  </xdr:twoCellAnchor>
  <xdr:twoCellAnchor>
    <xdr:from>
      <xdr:col>23</xdr:col>
      <xdr:colOff>423705</xdr:colOff>
      <xdr:row>13</xdr:row>
      <xdr:rowOff>174061</xdr:rowOff>
    </xdr:from>
    <xdr:to>
      <xdr:col>33</xdr:col>
      <xdr:colOff>281913</xdr:colOff>
      <xdr:row>22</xdr:row>
      <xdr:rowOff>38763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7C656B8-6FCD-43BB-9713-CEA1517040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556563</xdr:colOff>
      <xdr:row>13</xdr:row>
      <xdr:rowOff>2295</xdr:rowOff>
    </xdr:from>
    <xdr:to>
      <xdr:col>21</xdr:col>
      <xdr:colOff>692729</xdr:colOff>
      <xdr:row>22</xdr:row>
      <xdr:rowOff>31518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E2FD7D5-5E50-49D5-9EA3-DECA5574BE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2478</xdr:colOff>
      <xdr:row>85</xdr:row>
      <xdr:rowOff>9526</xdr:rowOff>
    </xdr:from>
    <xdr:ext cx="1834165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F1CDABF-53C1-4442-8BBA-242DCDAC7199}"/>
                </a:ext>
              </a:extLst>
            </xdr:cNvPr>
            <xdr:cNvSpPr txBox="1"/>
          </xdr:nvSpPr>
          <xdr:spPr>
            <a:xfrm>
              <a:off x="7832028" y="17564101"/>
              <a:ext cx="1834165" cy="3619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200">
                  <a:latin typeface="Cambria Math" panose="02040503050406030204" pitchFamily="18" charset="0"/>
                  <a:ea typeface="Cambria Math" panose="02040503050406030204" pitchFamily="18" charset="0"/>
                  <a:cs typeface="Arial" panose="020B0604020202020204" pitchFamily="34" charset="0"/>
                </a:rPr>
                <a:t>SEER</a:t>
              </a:r>
              <a:r>
                <a:rPr lang="en-US" sz="1200" baseline="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en-US" sz="12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𝑎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− </m:t>
                      </m:r>
                      <m:rad>
                        <m:radPr>
                          <m:degHide m:val="on"/>
                          <m:ctrlPr>
                            <a:rPr lang="en-US" sz="1200" i="1">
                              <a:latin typeface="Cambria Math" panose="02040503050406030204" pitchFamily="18" charset="0"/>
                            </a:rPr>
                          </m:ctrlPr>
                        </m:radPr>
                        <m:deg/>
                        <m:e>
                          <m:r>
                            <a:rPr lang="en-US" sz="1200" b="0" i="1">
                              <a:latin typeface="Cambria Math" panose="02040503050406030204" pitchFamily="18" charset="0"/>
                            </a:rPr>
                            <m:t>𝑏</m:t>
                          </m:r>
                          <m:r>
                            <a:rPr lang="en-US" sz="1200" b="0" i="1">
                              <a:latin typeface="Cambria Math" panose="02040503050406030204" pitchFamily="18" charset="0"/>
                            </a:rPr>
                            <m:t> −</m:t>
                          </m:r>
                          <m:r>
                            <a:rPr lang="en-US" sz="1200" b="0" i="1">
                              <a:latin typeface="Cambria Math" panose="02040503050406030204" pitchFamily="18" charset="0"/>
                            </a:rPr>
                            <m:t>𝑐</m:t>
                          </m:r>
                          <m:r>
                            <a:rPr lang="en-US" sz="1200" b="0" i="1">
                              <a:latin typeface="Cambria Math" panose="02040503050406030204" pitchFamily="18" charset="0"/>
                            </a:rPr>
                            <m:t> ×</m:t>
                          </m:r>
                          <m:r>
                            <a:rPr lang="en-US" sz="12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𝐸𝐸𝑅</m:t>
                          </m:r>
                        </m:e>
                      </m:rad>
                    </m:num>
                    <m:den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𝑑</m:t>
                      </m:r>
                    </m:den>
                  </m:f>
                </m:oMath>
              </a14:m>
              <a:endParaRPr lang="en-US" sz="12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F1CDABF-53C1-4442-8BBA-242DCDAC7199}"/>
                </a:ext>
              </a:extLst>
            </xdr:cNvPr>
            <xdr:cNvSpPr txBox="1"/>
          </xdr:nvSpPr>
          <xdr:spPr>
            <a:xfrm>
              <a:off x="7832028" y="17564101"/>
              <a:ext cx="1834165" cy="3619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200">
                  <a:latin typeface="Cambria Math" panose="02040503050406030204" pitchFamily="18" charset="0"/>
                  <a:ea typeface="Cambria Math" panose="02040503050406030204" pitchFamily="18" charset="0"/>
                  <a:cs typeface="Arial" panose="020B0604020202020204" pitchFamily="34" charset="0"/>
                </a:rPr>
                <a:t>SEER</a:t>
              </a:r>
              <a:r>
                <a:rPr lang="en-US" sz="1200" baseline="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n-US" sz="1200" i="0">
                  <a:latin typeface="Cambria Math" panose="02040503050406030204" pitchFamily="18" charset="0"/>
                </a:rPr>
                <a:t>=(</a:t>
              </a:r>
              <a:r>
                <a:rPr lang="en-US" sz="1200" b="0" i="0">
                  <a:latin typeface="Cambria Math" panose="02040503050406030204" pitchFamily="18" charset="0"/>
                </a:rPr>
                <a:t>𝑎 − √(𝑏 −𝑐 ×</a:t>
              </a:r>
              <a:r>
                <a:rPr lang="en-US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𝐸𝐸𝑅))/</a:t>
              </a:r>
              <a:r>
                <a:rPr lang="en-US" sz="1200" b="0" i="0">
                  <a:latin typeface="Cambria Math" panose="02040503050406030204" pitchFamily="18" charset="0"/>
                </a:rPr>
                <a:t>𝑑</a:t>
              </a:r>
              <a:endParaRPr lang="en-US" sz="12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twoCellAnchor editAs="oneCell">
    <xdr:from>
      <xdr:col>17</xdr:col>
      <xdr:colOff>185737</xdr:colOff>
      <xdr:row>103</xdr:row>
      <xdr:rowOff>357</xdr:rowOff>
    </xdr:from>
    <xdr:to>
      <xdr:col>18</xdr:col>
      <xdr:colOff>1095377</xdr:colOff>
      <xdr:row>107</xdr:row>
      <xdr:rowOff>161830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0495ED-BA5F-40F6-800F-8B75D4478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6687" y="21126807"/>
          <a:ext cx="1828802" cy="923473"/>
        </a:xfrm>
        <a:prstGeom prst="rect">
          <a:avLst/>
        </a:prstGeom>
      </xdr:spPr>
    </xdr:pic>
    <xdr:clientData/>
  </xdr:twoCellAnchor>
  <xdr:twoCellAnchor editAs="oneCell">
    <xdr:from>
      <xdr:col>17</xdr:col>
      <xdr:colOff>416719</xdr:colOff>
      <xdr:row>108</xdr:row>
      <xdr:rowOff>154781</xdr:rowOff>
    </xdr:from>
    <xdr:to>
      <xdr:col>18</xdr:col>
      <xdr:colOff>1309688</xdr:colOff>
      <xdr:row>113</xdr:row>
      <xdr:rowOff>64690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46056DA-9327-4612-BC9A-BC50315C9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37669" y="22233731"/>
          <a:ext cx="1812131" cy="862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coned.com/en/rates-tariffs/rates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coned.com/_external/cerates/documents/elecPSC10/electric-tariff.pdf" TargetMode="External"/><Relationship Id="rId1" Type="http://schemas.openxmlformats.org/officeDocument/2006/relationships/hyperlink" Target="http://www3.dps.ny.gov/W/PSCWeb.nsf/96f0fec0b45a3c6485257688006a701a/72c23decff52920a85257f1100671bdd/$FILE/TRM%20Version%206%20-%20January%202019.pdf" TargetMode="External"/><Relationship Id="rId6" Type="http://schemas.openxmlformats.org/officeDocument/2006/relationships/hyperlink" Target="http://www3.dps.ny.gov/W/PSCWeb.nsf/96f0fec0b45a3c6485257688006a701a/72c23decff52920a85257f1100671bdd/$FILE/TRM%20Version%206%20-%20January%202019.pdf" TargetMode="External"/><Relationship Id="rId5" Type="http://schemas.openxmlformats.org/officeDocument/2006/relationships/hyperlink" Target="https://www.coned.com/-/media/files/coned/documents/save-energy-money/using-private-generation/historical-average-full-service-electric-rates.pdf?la=en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nyserda.ny.gov/Researchers-and-Policymakers/Energy-Prices/Home-Heating-Oil/Average-Home-Heating-Oil-Prices" TargetMode="External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sec.ucf.edu/en/publications/html/FSEC-PF-413-04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ata.bls.gov/timeseries/APUS12A72610?amp%253bdata_tool=XGtable&amp;output_view=data&amp;include_graphs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0D907-9B2E-47F7-BEE3-1BF760256169}">
  <sheetPr codeName="Sheet1"/>
  <dimension ref="A6:AH59"/>
  <sheetViews>
    <sheetView tabSelected="1" zoomScale="70" zoomScaleNormal="70" workbookViewId="0">
      <selection activeCell="S2" sqref="S2"/>
    </sheetView>
  </sheetViews>
  <sheetFormatPr defaultColWidth="10.85546875" defaultRowHeight="20.100000000000001" customHeight="1"/>
  <cols>
    <col min="1" max="4" width="10.85546875" style="335"/>
    <col min="5" max="5" width="30.5703125" style="335" customWidth="1"/>
    <col min="6" max="6" width="6.42578125" style="335" customWidth="1"/>
    <col min="7" max="7" width="37.85546875" style="335" customWidth="1"/>
    <col min="8" max="8" width="14.5703125" style="382" customWidth="1"/>
    <col min="9" max="9" width="6.42578125" style="335" customWidth="1"/>
    <col min="10" max="10" width="41.140625" style="335" customWidth="1"/>
    <col min="11" max="11" width="13.5703125" style="335" customWidth="1"/>
    <col min="12" max="12" width="8.140625" style="335" customWidth="1"/>
    <col min="13" max="15" width="10.85546875" style="335"/>
    <col min="16" max="17" width="15.5703125" style="335" bestFit="1" customWidth="1"/>
    <col min="18" max="20" width="10.85546875" style="335"/>
    <col min="21" max="21" width="18.42578125" style="335" bestFit="1" customWidth="1"/>
    <col min="22" max="16384" width="10.85546875" style="335"/>
  </cols>
  <sheetData>
    <row r="6" spans="1:34" ht="20.100000000000001" customHeight="1">
      <c r="Y6" s="339"/>
    </row>
    <row r="7" spans="1:34" ht="20.100000000000001" customHeight="1">
      <c r="B7" s="336"/>
    </row>
    <row r="8" spans="1:34" ht="20.100000000000001" customHeight="1">
      <c r="G8" s="339"/>
    </row>
    <row r="9" spans="1:34" ht="18">
      <c r="A9" s="338"/>
      <c r="C9" s="476" t="s">
        <v>0</v>
      </c>
      <c r="D9" s="476"/>
      <c r="E9" s="476"/>
      <c r="G9" s="476" t="s">
        <v>1</v>
      </c>
      <c r="H9" s="476"/>
      <c r="J9" s="476" t="s">
        <v>2</v>
      </c>
      <c r="K9" s="476"/>
      <c r="N9" s="337" t="s">
        <v>3</v>
      </c>
    </row>
    <row r="10" spans="1:34" ht="20.100000000000001" customHeight="1">
      <c r="B10" s="389" t="s">
        <v>4</v>
      </c>
      <c r="C10" s="28"/>
      <c r="D10" s="28"/>
      <c r="E10" s="28"/>
      <c r="F10" s="28"/>
      <c r="G10" s="28"/>
      <c r="H10" s="383"/>
      <c r="I10" s="28"/>
      <c r="J10" s="28"/>
      <c r="K10" s="28"/>
      <c r="L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20.100000000000001" customHeight="1">
      <c r="B11" s="28"/>
      <c r="C11" s="28"/>
      <c r="D11" s="28"/>
      <c r="E11" s="28"/>
      <c r="F11" s="28"/>
      <c r="G11" s="28"/>
      <c r="H11" s="383"/>
      <c r="I11" s="28"/>
      <c r="J11" s="28"/>
      <c r="K11" s="28"/>
      <c r="L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ht="20.100000000000001" customHeight="1">
      <c r="B12" s="28"/>
      <c r="C12" s="29" t="s">
        <v>5</v>
      </c>
      <c r="D12" s="28"/>
      <c r="E12" s="468" t="s">
        <v>6</v>
      </c>
      <c r="F12" s="28"/>
      <c r="G12" s="30" t="s">
        <v>7</v>
      </c>
      <c r="H12" s="387">
        <f>Calculations!E7</f>
        <v>75.49297709923664</v>
      </c>
      <c r="I12" s="28"/>
      <c r="J12" s="30" t="s">
        <v>7</v>
      </c>
      <c r="K12" s="475"/>
      <c r="L12" s="28"/>
      <c r="N12" s="28"/>
      <c r="O12" s="477" t="str">
        <f>" Installing an air-source heat pump in place of your "&amp;E19&amp;" and "&amp;E21&amp;" systems saves "&amp;AE29-AE34&amp;" million Btu of energy. You will spend $"&amp;U40&amp;" "&amp;U39&amp;" on energy bills."</f>
        <v xml:space="preserve"> Installing an air-source heat pump in place of your Fuel oil and Central AC systems saves 78 million Btu of energy. You will spend $701 less on energy bills.</v>
      </c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9"/>
      <c r="AH12" s="28"/>
    </row>
    <row r="13" spans="1:34" ht="20.100000000000001" customHeight="1">
      <c r="B13" s="28"/>
      <c r="C13" s="28"/>
      <c r="D13" s="28"/>
      <c r="E13" s="28"/>
      <c r="F13" s="28"/>
      <c r="G13" s="30"/>
      <c r="H13" s="385"/>
      <c r="I13" s="28"/>
      <c r="J13" s="30"/>
      <c r="K13" s="358"/>
      <c r="L13" s="28"/>
      <c r="N13" s="28"/>
      <c r="O13" s="480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2"/>
      <c r="AH13" s="28"/>
    </row>
    <row r="14" spans="1:34" ht="20.100000000000001" customHeight="1">
      <c r="B14" s="28"/>
      <c r="C14" s="29" t="s">
        <v>8</v>
      </c>
      <c r="D14" s="28"/>
      <c r="E14" s="469" t="s">
        <v>298</v>
      </c>
      <c r="F14" s="28"/>
      <c r="G14" s="30" t="s">
        <v>10</v>
      </c>
      <c r="H14" s="384">
        <f>Calculations!E8</f>
        <v>14.422033898305086</v>
      </c>
      <c r="I14" s="28"/>
      <c r="J14" s="30" t="s">
        <v>10</v>
      </c>
      <c r="K14" s="475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ht="20.100000000000001" customHeight="1">
      <c r="B15" s="28"/>
      <c r="C15" s="28"/>
      <c r="D15" s="28"/>
      <c r="E15" s="28"/>
      <c r="F15" s="28"/>
      <c r="G15" s="28"/>
      <c r="H15" s="383"/>
      <c r="I15" s="28"/>
      <c r="J15" s="28"/>
      <c r="K15" s="28"/>
      <c r="L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ht="20.100000000000001" customHeight="1">
      <c r="B16" s="28"/>
      <c r="C16" s="28"/>
      <c r="D16" s="28"/>
      <c r="E16" s="28"/>
      <c r="F16" s="28"/>
      <c r="G16" s="28"/>
      <c r="H16" s="383"/>
      <c r="I16" s="28"/>
      <c r="J16" s="28"/>
      <c r="K16" s="28"/>
      <c r="L16" s="28"/>
      <c r="N16" s="344"/>
      <c r="O16" s="344"/>
      <c r="P16" s="344"/>
      <c r="Q16" s="344"/>
      <c r="R16" s="344"/>
      <c r="S16" s="344"/>
      <c r="T16" s="344"/>
      <c r="U16" s="344"/>
      <c r="V16" s="344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2:34" ht="20.100000000000001" customHeight="1">
      <c r="B17" s="352" t="s">
        <v>11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N17" s="28"/>
      <c r="O17" s="344"/>
      <c r="P17" s="344"/>
      <c r="Q17" s="344"/>
      <c r="R17" s="344"/>
      <c r="S17" s="344"/>
      <c r="T17" s="344"/>
      <c r="U17" s="344"/>
      <c r="V17" s="344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2:34" ht="18">
      <c r="B18" s="28"/>
      <c r="C18" s="28"/>
      <c r="D18" s="28"/>
      <c r="E18" s="28"/>
      <c r="F18" s="28"/>
      <c r="G18" s="28"/>
      <c r="H18" s="383"/>
      <c r="I18" s="28"/>
      <c r="J18" s="28"/>
      <c r="K18" s="28"/>
      <c r="L18" s="28"/>
      <c r="N18" s="28"/>
      <c r="O18" s="344"/>
      <c r="P18" s="344"/>
      <c r="Q18" s="344"/>
      <c r="R18" s="344"/>
      <c r="S18" s="344"/>
      <c r="T18" s="344"/>
      <c r="U18" s="344"/>
      <c r="V18" s="344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2:34" ht="20.100000000000001" customHeight="1">
      <c r="B19" s="28"/>
      <c r="C19" s="30" t="s">
        <v>12</v>
      </c>
      <c r="D19" s="28"/>
      <c r="E19" s="468" t="s">
        <v>135</v>
      </c>
      <c r="F19" s="28"/>
      <c r="G19" s="30" t="s">
        <v>14</v>
      </c>
      <c r="H19" s="379">
        <f>Calculations!E13</f>
        <v>0.83</v>
      </c>
      <c r="I19" s="28"/>
      <c r="J19" s="30" t="s">
        <v>14</v>
      </c>
      <c r="K19" s="471"/>
      <c r="L19" s="28"/>
      <c r="N19" s="28"/>
      <c r="O19" s="344"/>
      <c r="P19" s="344"/>
      <c r="Q19" s="344"/>
      <c r="R19" s="344"/>
      <c r="S19" s="344"/>
      <c r="T19" s="344"/>
      <c r="U19" s="344"/>
      <c r="V19" s="344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2:34" ht="18">
      <c r="B20" s="28"/>
      <c r="C20" s="30"/>
      <c r="D20" s="28"/>
      <c r="E20" s="28"/>
      <c r="F20" s="28"/>
      <c r="G20" s="28"/>
      <c r="H20" s="383"/>
      <c r="I20" s="28"/>
      <c r="J20" s="28"/>
      <c r="K20" s="28"/>
      <c r="L20" s="28"/>
      <c r="N20" s="28"/>
      <c r="O20" s="344"/>
      <c r="P20" s="344"/>
      <c r="Q20" s="344"/>
      <c r="R20" s="344"/>
      <c r="S20" s="344"/>
      <c r="T20" s="344"/>
      <c r="U20" s="344"/>
      <c r="V20" s="344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2:34" ht="20.100000000000001" customHeight="1">
      <c r="B21" s="28"/>
      <c r="C21" s="30" t="s">
        <v>15</v>
      </c>
      <c r="D21" s="28"/>
      <c r="E21" s="468" t="s">
        <v>16</v>
      </c>
      <c r="F21" s="28"/>
      <c r="G21" s="30" t="s">
        <v>315</v>
      </c>
      <c r="H21" s="379">
        <f>Calculations!E19</f>
        <v>14</v>
      </c>
      <c r="I21" s="28"/>
      <c r="J21" s="30" t="s">
        <v>315</v>
      </c>
      <c r="K21" s="471"/>
      <c r="L21" s="28"/>
      <c r="N21" s="28"/>
      <c r="O21" s="344"/>
      <c r="P21" s="344"/>
      <c r="Q21" s="344"/>
      <c r="R21" s="344"/>
      <c r="S21" s="344"/>
      <c r="T21" s="344"/>
      <c r="U21" s="344"/>
      <c r="V21" s="344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2:34" ht="20.100000000000001" customHeight="1">
      <c r="B22" s="28"/>
      <c r="C22" s="30"/>
      <c r="D22" s="28"/>
      <c r="E22" s="28"/>
      <c r="F22" s="28"/>
      <c r="G22" s="28"/>
      <c r="H22" s="383"/>
      <c r="I22" s="28"/>
      <c r="J22" s="28"/>
      <c r="K22" s="28"/>
      <c r="L22" s="28"/>
      <c r="N22" s="28"/>
      <c r="O22" s="344"/>
      <c r="P22" s="344"/>
      <c r="Q22" s="344"/>
      <c r="R22" s="344"/>
      <c r="S22" s="344"/>
      <c r="T22" s="344"/>
      <c r="U22" s="344"/>
      <c r="V22" s="344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2:34" ht="20.100000000000001" customHeight="1">
      <c r="B23" s="28"/>
      <c r="C23" s="30" t="s">
        <v>17</v>
      </c>
      <c r="D23" s="28"/>
      <c r="E23" s="470">
        <v>1</v>
      </c>
      <c r="F23" s="28"/>
      <c r="G23" s="30" t="s">
        <v>18</v>
      </c>
      <c r="H23" s="386">
        <f>Calculations!E20</f>
        <v>1</v>
      </c>
      <c r="I23" s="28"/>
      <c r="J23" s="30" t="s">
        <v>18</v>
      </c>
      <c r="K23" s="473"/>
      <c r="L23" s="28"/>
      <c r="N23" s="28"/>
      <c r="O23" s="344"/>
      <c r="P23" s="344"/>
      <c r="Q23" s="344"/>
      <c r="R23" s="344"/>
      <c r="S23" s="344"/>
      <c r="T23" s="344"/>
      <c r="U23" s="344"/>
      <c r="V23" s="344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2:34" ht="20.100000000000001" customHeigh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52" t="s">
        <v>19</v>
      </c>
      <c r="Z24" s="334"/>
      <c r="AA24" s="334"/>
      <c r="AB24" s="334"/>
      <c r="AC24" s="334"/>
      <c r="AD24" s="334"/>
      <c r="AE24" s="334"/>
      <c r="AF24" s="334"/>
      <c r="AG24" s="28"/>
      <c r="AH24" s="28"/>
    </row>
    <row r="25" spans="2:34" ht="20.100000000000001" customHeight="1">
      <c r="B25" s="389" t="s">
        <v>20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N25" s="28"/>
      <c r="O25" s="352" t="s">
        <v>21</v>
      </c>
      <c r="P25" s="334"/>
      <c r="Q25" s="334"/>
      <c r="R25" s="334"/>
      <c r="S25" s="334"/>
      <c r="T25" s="334"/>
      <c r="U25" s="334"/>
      <c r="V25" s="334"/>
      <c r="W25" s="28"/>
      <c r="X25" s="28"/>
      <c r="Y25" s="30" t="s">
        <v>305</v>
      </c>
      <c r="Z25" s="28"/>
      <c r="AA25" s="28"/>
      <c r="AB25" s="28"/>
      <c r="AC25" s="28"/>
      <c r="AD25" s="28"/>
      <c r="AE25" s="332">
        <f>IFERROR(ROUND(Calculations!L106,0),0)</f>
        <v>0</v>
      </c>
      <c r="AF25" s="332" t="s">
        <v>161</v>
      </c>
      <c r="AG25" s="28"/>
      <c r="AH25" s="28"/>
    </row>
    <row r="26" spans="2:34" ht="18">
      <c r="B26" s="28"/>
      <c r="C26" s="28"/>
      <c r="D26" s="28"/>
      <c r="E26" s="28"/>
      <c r="F26" s="28"/>
      <c r="G26" s="28"/>
      <c r="H26" s="383"/>
      <c r="I26" s="28"/>
      <c r="J26" s="28"/>
      <c r="K26" s="28"/>
      <c r="L26" s="28"/>
      <c r="N26" s="30"/>
      <c r="O26" s="30" t="str">
        <f>E19&amp;" Heating"</f>
        <v>Fuel oil Heating</v>
      </c>
      <c r="P26" s="28"/>
      <c r="Q26" s="28"/>
      <c r="R26" s="28"/>
      <c r="S26" s="28"/>
      <c r="T26" s="28"/>
      <c r="U26" s="328">
        <f>ROUND(Calculations!F104,0)</f>
        <v>2602</v>
      </c>
      <c r="V26" s="329"/>
      <c r="W26" s="28"/>
      <c r="X26" s="28"/>
      <c r="Y26" s="88" t="s">
        <v>306</v>
      </c>
      <c r="Z26" s="89"/>
      <c r="AA26" s="89"/>
      <c r="AB26" s="89"/>
      <c r="AC26" s="89"/>
      <c r="AD26" s="89"/>
      <c r="AE26" s="333">
        <f>IFERROR(ROUND(Calculations!L119,0),0)</f>
        <v>779</v>
      </c>
      <c r="AF26" s="333" t="s">
        <v>304</v>
      </c>
      <c r="AG26" s="28"/>
      <c r="AH26" s="28"/>
    </row>
    <row r="27" spans="2:34" ht="20.100000000000001" customHeight="1">
      <c r="B27" s="28"/>
      <c r="C27" s="30" t="s">
        <v>22</v>
      </c>
      <c r="D27" s="28"/>
      <c r="E27" s="468" t="s">
        <v>75</v>
      </c>
      <c r="F27" s="28"/>
      <c r="G27" s="30" t="s">
        <v>316</v>
      </c>
      <c r="H27" s="495">
        <f>Calculations!E24</f>
        <v>10.9184</v>
      </c>
      <c r="I27" s="28"/>
      <c r="J27" s="30" t="s">
        <v>316</v>
      </c>
      <c r="K27" s="471"/>
      <c r="L27" s="28"/>
      <c r="N27" s="28"/>
      <c r="O27" s="391" t="str">
        <f>E21</f>
        <v>Central AC</v>
      </c>
      <c r="P27" s="142"/>
      <c r="Q27" s="142"/>
      <c r="R27" s="142"/>
      <c r="S27" s="142"/>
      <c r="T27" s="142"/>
      <c r="U27" s="328">
        <f>ROUND(Calculations!F105,0)</f>
        <v>283</v>
      </c>
      <c r="V27" s="329"/>
      <c r="W27" s="28"/>
      <c r="X27" s="28"/>
      <c r="Y27" s="30" t="str">
        <f>E19&amp;" Heating"</f>
        <v>Fuel oil Heating</v>
      </c>
      <c r="Z27" s="28"/>
      <c r="AA27" s="28"/>
      <c r="AB27" s="28"/>
      <c r="AC27" s="28"/>
      <c r="AD27" s="28"/>
      <c r="AE27" s="332">
        <f>ROUND(Calculations!F93,0)</f>
        <v>108</v>
      </c>
      <c r="AF27" s="332" t="s">
        <v>104</v>
      </c>
      <c r="AG27" s="28"/>
      <c r="AH27" s="28"/>
    </row>
    <row r="28" spans="2:34" ht="20.100000000000001" customHeight="1">
      <c r="B28" s="28"/>
      <c r="C28" s="30"/>
      <c r="D28" s="28"/>
      <c r="E28" s="28"/>
      <c r="F28" s="28"/>
      <c r="G28" s="28"/>
      <c r="H28" s="383"/>
      <c r="I28" s="28"/>
      <c r="J28" s="28"/>
      <c r="K28" s="28"/>
      <c r="L28" s="28"/>
      <c r="N28" s="28"/>
      <c r="O28" s="132" t="s">
        <v>24</v>
      </c>
      <c r="P28" s="89"/>
      <c r="Q28" s="89"/>
      <c r="R28" s="89"/>
      <c r="S28" s="89"/>
      <c r="T28" s="89"/>
      <c r="U28" s="331">
        <f>ROUND(Calculations!F106,0)</f>
        <v>2885</v>
      </c>
      <c r="V28" s="390"/>
      <c r="W28" s="28"/>
      <c r="X28" s="28"/>
      <c r="Y28" s="30" t="str">
        <f>E21</f>
        <v>Central AC</v>
      </c>
      <c r="Z28" s="28"/>
      <c r="AA28" s="28"/>
      <c r="AB28" s="28"/>
      <c r="AC28" s="28"/>
      <c r="AD28" s="28"/>
      <c r="AE28" s="332">
        <f>ROUND(Calculations!F94,0)</f>
        <v>4</v>
      </c>
      <c r="AF28" s="332" t="s">
        <v>104</v>
      </c>
      <c r="AG28" s="28"/>
      <c r="AH28" s="28"/>
    </row>
    <row r="29" spans="2:34" ht="20.100000000000001" customHeight="1">
      <c r="B29" s="28"/>
      <c r="C29" s="30" t="s">
        <v>25</v>
      </c>
      <c r="D29" s="28"/>
      <c r="E29" s="468" t="s">
        <v>77</v>
      </c>
      <c r="F29" s="28"/>
      <c r="G29" s="30" t="s">
        <v>30</v>
      </c>
      <c r="H29" s="380">
        <f>Calculations!E26</f>
        <v>1</v>
      </c>
      <c r="I29" s="28"/>
      <c r="J29" s="30" t="s">
        <v>30</v>
      </c>
      <c r="K29" s="472"/>
      <c r="L29" s="28"/>
      <c r="N29" s="28"/>
      <c r="O29" s="329"/>
      <c r="P29" s="329"/>
      <c r="Q29" s="329"/>
      <c r="R29" s="329"/>
      <c r="S29" s="329"/>
      <c r="T29" s="329"/>
      <c r="U29" s="329"/>
      <c r="V29" s="328"/>
      <c r="W29" s="28"/>
      <c r="X29" s="28"/>
      <c r="Y29" s="132" t="s">
        <v>307</v>
      </c>
      <c r="Z29" s="89"/>
      <c r="AA29" s="89"/>
      <c r="AB29" s="89"/>
      <c r="AC29" s="89"/>
      <c r="AD29" s="89"/>
      <c r="AE29" s="330">
        <f>ROUND(Calculations!F95,0)</f>
        <v>113</v>
      </c>
      <c r="AF29" s="330" t="s">
        <v>104</v>
      </c>
      <c r="AG29" s="28"/>
      <c r="AH29" s="28"/>
    </row>
    <row r="30" spans="2:34" ht="20.100000000000001" customHeight="1">
      <c r="B30" s="28"/>
      <c r="C30" s="31"/>
      <c r="D30" s="28"/>
      <c r="E30" s="28"/>
      <c r="F30" s="28"/>
      <c r="G30" s="28"/>
      <c r="H30" s="383"/>
      <c r="I30" s="28"/>
      <c r="J30" s="28"/>
      <c r="K30" s="28"/>
      <c r="L30" s="28"/>
      <c r="N30" s="28"/>
      <c r="O30" s="391" t="s">
        <v>27</v>
      </c>
      <c r="P30" s="142"/>
      <c r="Q30" s="142"/>
      <c r="R30" s="142"/>
      <c r="S30" s="142"/>
      <c r="T30" s="142"/>
      <c r="U30" s="328">
        <f>ROUND(Calculations!F107,0)</f>
        <v>1991</v>
      </c>
      <c r="V30" s="328"/>
      <c r="W30" s="28"/>
      <c r="X30" s="28"/>
      <c r="Y30" s="127" t="s">
        <v>308</v>
      </c>
      <c r="Z30" s="126"/>
      <c r="AA30" s="126"/>
      <c r="AB30" s="126"/>
      <c r="AC30" s="126"/>
      <c r="AD30" s="126"/>
      <c r="AE30" s="332">
        <f>ROUND(Calculations!F96,0)</f>
        <v>32</v>
      </c>
      <c r="AF30" s="332" t="s">
        <v>104</v>
      </c>
      <c r="AG30" s="28"/>
      <c r="AH30" s="28"/>
    </row>
    <row r="31" spans="2:34" ht="20.100000000000001" customHeight="1">
      <c r="B31" s="28"/>
      <c r="C31" s="31"/>
      <c r="D31" s="28"/>
      <c r="E31" s="28"/>
      <c r="F31" s="28"/>
      <c r="G31" s="30" t="s">
        <v>314</v>
      </c>
      <c r="H31" s="381">
        <f>Calculations!E27</f>
        <v>18</v>
      </c>
      <c r="I31" s="28"/>
      <c r="J31" s="30" t="s">
        <v>314</v>
      </c>
      <c r="K31" s="474"/>
      <c r="L31" s="28"/>
      <c r="N31" s="28"/>
      <c r="O31" s="391" t="s">
        <v>29</v>
      </c>
      <c r="P31" s="142"/>
      <c r="Q31" s="142"/>
      <c r="R31" s="142"/>
      <c r="S31" s="142"/>
      <c r="T31" s="142"/>
      <c r="U31" s="328">
        <f>ROUND(Calculations!F108,0)</f>
        <v>193</v>
      </c>
      <c r="V31" s="328"/>
      <c r="W31" s="28"/>
      <c r="X31" s="28"/>
      <c r="Y31" s="30" t="s">
        <v>309</v>
      </c>
      <c r="Z31" s="28"/>
      <c r="AA31" s="28"/>
      <c r="AB31" s="28"/>
      <c r="AC31" s="28"/>
      <c r="AD31" s="28"/>
      <c r="AE31" s="332">
        <f>ROUND(Calculations!F97,0)</f>
        <v>3</v>
      </c>
      <c r="AF31" s="332" t="s">
        <v>104</v>
      </c>
      <c r="AG31" s="28"/>
      <c r="AH31" s="28"/>
    </row>
    <row r="32" spans="2:34" ht="20.100000000000001" customHeight="1">
      <c r="B32" s="28"/>
      <c r="C32" s="31"/>
      <c r="D32" s="31"/>
      <c r="E32" s="31"/>
      <c r="F32" s="28"/>
      <c r="G32" s="28"/>
      <c r="H32" s="383"/>
      <c r="I32" s="28"/>
      <c r="J32" s="28"/>
      <c r="K32" s="28"/>
      <c r="L32" s="28"/>
      <c r="N32" s="28"/>
      <c r="O32" s="391" t="str">
        <f>"Residual "&amp;E19&amp;" Heating Costs ($)"</f>
        <v>Residual Fuel oil Heating Costs ($)</v>
      </c>
      <c r="P32" s="142"/>
      <c r="Q32" s="142"/>
      <c r="R32" s="142"/>
      <c r="S32" s="142"/>
      <c r="T32" s="142"/>
      <c r="U32" s="328">
        <f>ROUND(Calculations!F109,0)</f>
        <v>0</v>
      </c>
      <c r="V32" s="329"/>
      <c r="W32" s="28"/>
      <c r="X32" s="28"/>
      <c r="Y32" s="30" t="s">
        <v>310</v>
      </c>
      <c r="Z32" s="28"/>
      <c r="AA32" s="28"/>
      <c r="AB32" s="28"/>
      <c r="AC32" s="28"/>
      <c r="AD32" s="28"/>
      <c r="AE32" s="332">
        <f>ROUND(Calculations!F98,0)</f>
        <v>0</v>
      </c>
      <c r="AF32" s="332" t="s">
        <v>104</v>
      </c>
      <c r="AG32" s="28"/>
      <c r="AH32" s="28"/>
    </row>
    <row r="33" spans="2:34" ht="20.100000000000001" customHeight="1">
      <c r="B33" s="28"/>
      <c r="C33" s="31"/>
      <c r="D33" s="31"/>
      <c r="E33" s="31"/>
      <c r="F33" s="28"/>
      <c r="G33" s="29" t="s">
        <v>28</v>
      </c>
      <c r="H33" s="380">
        <f>Calculations!E25</f>
        <v>1</v>
      </c>
      <c r="I33" s="28"/>
      <c r="J33" s="29" t="s">
        <v>28</v>
      </c>
      <c r="K33" s="472"/>
      <c r="L33" s="28"/>
      <c r="N33" s="28"/>
      <c r="O33" s="391" t="str">
        <f>"Residual "&amp;E21&amp;" Cooling Costs ($)"</f>
        <v>Residual Central AC Cooling Costs ($)</v>
      </c>
      <c r="P33" s="142"/>
      <c r="Q33" s="142"/>
      <c r="R33" s="142"/>
      <c r="S33" s="142"/>
      <c r="T33" s="142"/>
      <c r="U33" s="328">
        <f>ROUND(Calculations!F110,0)</f>
        <v>0</v>
      </c>
      <c r="V33" s="329"/>
      <c r="W33" s="28"/>
      <c r="X33" s="28"/>
      <c r="Y33" s="30" t="s">
        <v>311</v>
      </c>
      <c r="Z33" s="28"/>
      <c r="AA33" s="28"/>
      <c r="AB33" s="28"/>
      <c r="AC33" s="28"/>
      <c r="AD33" s="28"/>
      <c r="AE33" s="332">
        <f>ROUND(Calculations!F99,0)</f>
        <v>0</v>
      </c>
      <c r="AF33" s="332" t="s">
        <v>104</v>
      </c>
      <c r="AG33" s="28"/>
      <c r="AH33" s="28"/>
    </row>
    <row r="34" spans="2:34" ht="20.100000000000001" customHeight="1">
      <c r="B34" s="28"/>
      <c r="C34" s="28"/>
      <c r="D34" s="28"/>
      <c r="E34" s="28"/>
      <c r="F34" s="28"/>
      <c r="G34" s="28"/>
      <c r="H34" s="383"/>
      <c r="I34" s="28"/>
      <c r="J34" s="28"/>
      <c r="K34" s="28"/>
      <c r="L34" s="28"/>
      <c r="N34" s="28"/>
      <c r="O34" s="132" t="s">
        <v>31</v>
      </c>
      <c r="P34" s="89"/>
      <c r="Q34" s="89"/>
      <c r="R34" s="89"/>
      <c r="S34" s="89"/>
      <c r="T34" s="89"/>
      <c r="U34" s="331">
        <f>ROUND(Calculations!F111,0)</f>
        <v>2184</v>
      </c>
      <c r="V34" s="28"/>
      <c r="W34" s="28"/>
      <c r="X34" s="28"/>
      <c r="Y34" s="132" t="s">
        <v>312</v>
      </c>
      <c r="Z34" s="89"/>
      <c r="AA34" s="89"/>
      <c r="AB34" s="89"/>
      <c r="AC34" s="89"/>
      <c r="AD34" s="89"/>
      <c r="AE34" s="330">
        <f>ROUND(Calculations!F100,0)</f>
        <v>35</v>
      </c>
      <c r="AF34" s="330" t="s">
        <v>104</v>
      </c>
      <c r="AG34" s="28"/>
      <c r="AH34" s="28"/>
    </row>
    <row r="35" spans="2:34" ht="18">
      <c r="B35" s="28"/>
      <c r="C35" s="28"/>
      <c r="D35" s="28"/>
      <c r="E35" s="28"/>
      <c r="F35" s="28"/>
      <c r="G35" s="442" t="str">
        <f>IF((Calculations!G78+Calculations!G80)&gt;Calculations!G75,'Lists &amp; Data'!B37,"")</f>
        <v/>
      </c>
      <c r="H35" s="383"/>
      <c r="I35" s="28"/>
      <c r="J35" s="28"/>
      <c r="K35" s="28"/>
      <c r="L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2:34" ht="18">
      <c r="B36" s="28"/>
      <c r="C36" s="28"/>
      <c r="D36" s="28"/>
      <c r="E36" s="28"/>
      <c r="F36" s="28"/>
      <c r="G36" s="442"/>
      <c r="H36" s="383"/>
      <c r="I36" s="28"/>
      <c r="J36" s="28"/>
      <c r="K36" s="28"/>
      <c r="L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8" spans="2:34" ht="20.100000000000001" customHeight="1">
      <c r="U38" s="492">
        <f>U28-U34</f>
        <v>701</v>
      </c>
    </row>
    <row r="39" spans="2:34" ht="20.100000000000001" customHeight="1">
      <c r="U39" s="493" t="str">
        <f>IF(U38&gt;0,"less","more")</f>
        <v>less</v>
      </c>
    </row>
    <row r="40" spans="2:34" ht="20.100000000000001" customHeight="1">
      <c r="B40" s="338"/>
      <c r="U40" s="493">
        <f>ABS(U38)</f>
        <v>701</v>
      </c>
    </row>
    <row r="54" spans="2:2" ht="20.100000000000001" customHeight="1">
      <c r="B54" s="338"/>
    </row>
    <row r="58" spans="2:2" ht="20.100000000000001" customHeight="1">
      <c r="B58" s="339"/>
    </row>
    <row r="59" spans="2:2" ht="20.100000000000001" customHeight="1">
      <c r="B59" s="339"/>
    </row>
  </sheetData>
  <sheetProtection algorithmName="SHA-512" hashValue="auukKZVIo90xCSJiaJDh5mXEgynGkRiijK6tVWnlip0i43afW+QFKdE9YhffgkC4CtFE/HB50kwufWtjf2yHwA==" saltValue="lxybpJ76D28eDRFP/DVF3g==" spinCount="100000" sheet="1" objects="1" scenarios="1"/>
  <mergeCells count="4">
    <mergeCell ref="J9:K9"/>
    <mergeCell ref="G9:H9"/>
    <mergeCell ref="C9:E9"/>
    <mergeCell ref="O12:AG13"/>
  </mergeCells>
  <conditionalFormatting sqref="K12 H31 H33 H29 J31:K31 J33:K33 J29:K29">
    <cfRule type="containsBlanks" dxfId="9" priority="12">
      <formula>LEN(TRIM(H12))=0</formula>
    </cfRule>
  </conditionalFormatting>
  <conditionalFormatting sqref="K19 K21 K27">
    <cfRule type="containsBlanks" dxfId="8" priority="10">
      <formula>LEN(TRIM(K19))=0</formula>
    </cfRule>
  </conditionalFormatting>
  <conditionalFormatting sqref="K14">
    <cfRule type="containsBlanks" dxfId="7" priority="8">
      <formula>LEN(TRIM(K14))=0</formula>
    </cfRule>
  </conditionalFormatting>
  <conditionalFormatting sqref="K23">
    <cfRule type="containsBlanks" dxfId="6" priority="7">
      <formula>LEN(TRIM(K23))=0</formula>
    </cfRule>
  </conditionalFormatting>
  <conditionalFormatting sqref="H12 J12:K12">
    <cfRule type="containsBlanks" dxfId="5" priority="6">
      <formula>LEN(TRIM(H12))=0</formula>
    </cfRule>
  </conditionalFormatting>
  <conditionalFormatting sqref="H19 H21 H27 J27:K27 J21:K21 J19:K19">
    <cfRule type="containsBlanks" dxfId="4" priority="5">
      <formula>LEN(TRIM(H19))=0</formula>
    </cfRule>
  </conditionalFormatting>
  <conditionalFormatting sqref="H14 J14:K14">
    <cfRule type="containsBlanks" dxfId="3" priority="4">
      <formula>LEN(TRIM(H14))=0</formula>
    </cfRule>
  </conditionalFormatting>
  <conditionalFormatting sqref="H23 J23:K23">
    <cfRule type="containsBlanks" dxfId="2" priority="3">
      <formula>LEN(TRIM(H23))=0</formula>
    </cfRule>
  </conditionalFormatting>
  <conditionalFormatting sqref="E23">
    <cfRule type="expression" dxfId="1" priority="2">
      <formula>$E$21&lt;&gt;"Window AC"</formula>
    </cfRule>
  </conditionalFormatting>
  <conditionalFormatting sqref="O12:AG13">
    <cfRule type="containsText" dxfId="0" priority="1" operator="containsText" text="WARNING">
      <formula>NOT(ISERROR(SEARCH("WARNING",O12)))</formula>
    </cfRule>
  </conditionalFormatting>
  <dataValidations xWindow="627" yWindow="418" count="1">
    <dataValidation type="decimal" allowBlank="1" showInputMessage="1" showErrorMessage="1" error="Please enter an AFUE between 0.7 and 0.95" sqref="H19 J19:K19" xr:uid="{56F7A42E-D2E6-4F4E-866D-A29F23C08EBF}">
      <formula1>0.7</formula1>
      <formula2>0.95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27" yWindow="418" count="6">
        <x14:dataValidation type="list" allowBlank="1" showInputMessage="1" showErrorMessage="1" xr:uid="{33C50072-5DBA-2243-8E31-FDFE020A0940}">
          <x14:formula1>
            <xm:f>'Lists &amp; Data'!$B$10:$B$11</xm:f>
          </x14:formula1>
          <xm:sqref>E12</xm:sqref>
        </x14:dataValidation>
        <x14:dataValidation type="list" allowBlank="1" showInputMessage="1" showErrorMessage="1" xr:uid="{211EF0DF-BDE0-1445-87E0-D22A23EBF90B}">
          <x14:formula1>
            <xm:f>'Lists &amp; Data'!$B$16:$B$18</xm:f>
          </x14:formula1>
          <xm:sqref>E19</xm:sqref>
        </x14:dataValidation>
        <x14:dataValidation type="list" allowBlank="1" showInputMessage="1" showErrorMessage="1" xr:uid="{E490F4BD-F998-0744-925B-63BD51EDECA4}">
          <x14:formula1>
            <xm:f>'Lists &amp; Data'!$D$16:$D$18</xm:f>
          </x14:formula1>
          <xm:sqref>E21</xm:sqref>
        </x14:dataValidation>
        <x14:dataValidation type="list" allowBlank="1" showInputMessage="1" showErrorMessage="1" xr:uid="{07C3C850-512D-4AC5-95E2-935A47517BB4}">
          <x14:formula1>
            <xm:f>'Lists &amp; Data'!$F$10:$F$12</xm:f>
          </x14:formula1>
          <xm:sqref>E14</xm:sqref>
        </x14:dataValidation>
        <x14:dataValidation type="list" allowBlank="1" showInputMessage="1" showErrorMessage="1" xr:uid="{4895DF82-F9AB-4CAC-990D-32EE4EA8DC64}">
          <x14:formula1>
            <xm:f>'Lists &amp; Data'!$B$27:$B$29</xm:f>
          </x14:formula1>
          <xm:sqref>E29</xm:sqref>
        </x14:dataValidation>
        <x14:dataValidation type="list" allowBlank="1" showInputMessage="1" showErrorMessage="1" xr:uid="{8222E7A5-A1C8-954A-AC23-554776EA7DC8}">
          <x14:formula1>
            <xm:f>'Lists &amp; Data'!$B$22:$B$23</xm:f>
          </x14:formula1>
          <xm:sqref>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CA371-6039-4EF6-89DC-7EFFC7D68AE7}">
  <sheetPr>
    <pageSetUpPr autoPageBreaks="0"/>
  </sheetPr>
  <dimension ref="A1:AA135"/>
  <sheetViews>
    <sheetView showGridLines="0" zoomScale="85" zoomScaleNormal="85" workbookViewId="0">
      <selection activeCell="F11" sqref="F11"/>
    </sheetView>
  </sheetViews>
  <sheetFormatPr defaultColWidth="13.85546875" defaultRowHeight="15" customHeight="1"/>
  <cols>
    <col min="1" max="1" width="5.7109375" style="45" customWidth="1"/>
    <col min="2" max="2" width="13.85546875" style="45"/>
    <col min="3" max="3" width="17.85546875" style="45" bestFit="1" customWidth="1"/>
    <col min="4" max="4" width="35.85546875" style="45" customWidth="1"/>
    <col min="5" max="6" width="13.85546875" style="45"/>
    <col min="7" max="7" width="14.28515625" style="45" bestFit="1" customWidth="1"/>
    <col min="8" max="18" width="13.85546875" style="45"/>
    <col min="19" max="19" width="44.28515625" style="45" customWidth="1"/>
    <col min="20" max="24" width="13.85546875" style="45"/>
    <col min="25" max="25" width="23" style="45" customWidth="1"/>
    <col min="26" max="16384" width="13.85546875" style="45"/>
  </cols>
  <sheetData>
    <row r="1" spans="1:17" ht="15" customHeight="1">
      <c r="A1" s="487" t="s">
        <v>32</v>
      </c>
      <c r="B1" s="487"/>
      <c r="C1" s="487"/>
      <c r="D1" s="487"/>
      <c r="E1" s="487"/>
      <c r="F1" s="487"/>
      <c r="G1" s="487"/>
      <c r="H1" s="487"/>
      <c r="J1" s="487" t="s">
        <v>33</v>
      </c>
      <c r="K1" s="487"/>
      <c r="L1" s="487"/>
      <c r="M1" s="487"/>
      <c r="N1" s="487"/>
      <c r="O1" s="487"/>
      <c r="P1" s="487"/>
      <c r="Q1" s="487"/>
    </row>
    <row r="2" spans="1:17" ht="15" customHeight="1" thickBot="1">
      <c r="A2" s="488"/>
      <c r="B2" s="488"/>
      <c r="C2" s="488"/>
      <c r="D2" s="488"/>
      <c r="E2" s="488"/>
      <c r="F2" s="488"/>
      <c r="G2" s="488"/>
      <c r="H2" s="488"/>
      <c r="J2" s="488"/>
      <c r="K2" s="488"/>
      <c r="L2" s="488"/>
      <c r="M2" s="488"/>
      <c r="N2" s="488"/>
      <c r="O2" s="488"/>
      <c r="P2" s="488"/>
      <c r="Q2" s="488"/>
    </row>
    <row r="3" spans="1:17" ht="26.25">
      <c r="A3" s="147" t="s">
        <v>34</v>
      </c>
      <c r="B3" s="148"/>
      <c r="C3" s="148"/>
      <c r="D3" s="148"/>
      <c r="E3" s="148"/>
      <c r="F3" s="148"/>
      <c r="G3" s="148"/>
      <c r="H3" s="149"/>
      <c r="J3" s="147" t="s">
        <v>35</v>
      </c>
      <c r="K3" s="148"/>
      <c r="L3" s="148" t="s">
        <v>36</v>
      </c>
      <c r="M3" s="148"/>
      <c r="N3" s="148"/>
      <c r="O3" s="148"/>
      <c r="P3" s="148"/>
      <c r="Q3" s="149"/>
    </row>
    <row r="4" spans="1:17">
      <c r="A4" s="150"/>
      <c r="B4" s="426" t="s">
        <v>37</v>
      </c>
      <c r="C4" s="424"/>
      <c r="D4" s="424"/>
      <c r="E4" s="425"/>
      <c r="F4" s="3"/>
      <c r="G4" s="3"/>
      <c r="H4" s="151"/>
      <c r="J4" s="150"/>
      <c r="K4" s="3"/>
      <c r="L4" s="3"/>
      <c r="M4" s="3"/>
      <c r="N4" s="3"/>
      <c r="O4" s="3"/>
      <c r="P4" s="118" t="s">
        <v>302</v>
      </c>
      <c r="Q4" s="151"/>
    </row>
    <row r="5" spans="1:17" ht="15" customHeight="1">
      <c r="A5" s="150"/>
      <c r="B5" s="190" t="s">
        <v>8</v>
      </c>
      <c r="C5" s="13"/>
      <c r="D5" s="360" t="str">
        <f>IFERROR('Energy Savings Calculator'!E14,"")</f>
        <v>Old (Pre 1979)</v>
      </c>
      <c r="E5" s="361" t="str">
        <f>VLOOKUP(D5,P6:Q8,2,FALSE)</f>
        <v>Old</v>
      </c>
      <c r="G5" s="3"/>
      <c r="H5" s="151"/>
      <c r="J5" s="456" t="s">
        <v>38</v>
      </c>
      <c r="K5" s="457"/>
      <c r="L5" s="458"/>
      <c r="M5" s="420" t="s">
        <v>39</v>
      </c>
      <c r="N5" s="412"/>
      <c r="O5" s="413"/>
      <c r="P5" s="426" t="s">
        <v>301</v>
      </c>
      <c r="Q5" s="452"/>
    </row>
    <row r="6" spans="1:17" ht="15" customHeight="1">
      <c r="A6" s="150"/>
      <c r="B6" s="193" t="s">
        <v>5</v>
      </c>
      <c r="C6" s="23"/>
      <c r="D6" s="23"/>
      <c r="E6" s="359" t="str">
        <f>IFERROR('Energy Savings Calculator'!E12,"")</f>
        <v>Single family detached</v>
      </c>
      <c r="F6" s="3"/>
      <c r="G6" s="3"/>
      <c r="H6" s="151"/>
      <c r="J6" s="238" t="s">
        <v>40</v>
      </c>
      <c r="K6" s="3"/>
      <c r="L6" s="401">
        <f>K46*O6</f>
        <v>75.49297709923664</v>
      </c>
      <c r="M6" s="421" t="s">
        <v>41</v>
      </c>
      <c r="N6" s="13"/>
      <c r="O6" s="429">
        <f>_xlfn.IFS($E$6=$K$32,INDEX($L$39:$L$42,MATCH($E$5,$J$39:$J$42,0)),$E$6=$M$32,INDEX($N$39:$N$42,MATCH($E$5,$J$39:$J$42,0)))</f>
        <v>1.1030534351145038</v>
      </c>
      <c r="P6" s="190" t="s">
        <v>298</v>
      </c>
      <c r="Q6" s="453" t="s">
        <v>9</v>
      </c>
    </row>
    <row r="7" spans="1:17" ht="15" customHeight="1">
      <c r="A7" s="150"/>
      <c r="B7" s="244" t="s">
        <v>44</v>
      </c>
      <c r="C7" s="13"/>
      <c r="D7" s="13"/>
      <c r="E7" s="388">
        <f>IF('Energy Savings Calculator'!K12&lt;&gt;0,'Energy Savings Calculator'!K12,L6)</f>
        <v>75.49297709923664</v>
      </c>
      <c r="F7" s="275"/>
      <c r="H7" s="151"/>
      <c r="J7" s="427" t="s">
        <v>42</v>
      </c>
      <c r="K7" s="10"/>
      <c r="L7" s="428">
        <f>M46*O7</f>
        <v>14.422033898305086</v>
      </c>
      <c r="M7" s="422" t="s">
        <v>43</v>
      </c>
      <c r="N7" s="23"/>
      <c r="O7" s="319">
        <f>_xlfn.IFS($E$6=$K$32,INDEX($K$39:$K$42,MATCH($E$5,$J$39:$J$42,0)),$E$6=$M$32,INDEX($M$39:$M$42,MATCH($E$5,$J$39:$J$42,0)))</f>
        <v>1.0323574730354392</v>
      </c>
      <c r="P7" s="193" t="s">
        <v>299</v>
      </c>
      <c r="Q7" s="454" t="s">
        <v>98</v>
      </c>
    </row>
    <row r="8" spans="1:17" ht="15" customHeight="1">
      <c r="A8" s="150"/>
      <c r="B8" s="244" t="s">
        <v>45</v>
      </c>
      <c r="C8" s="13"/>
      <c r="D8" s="13"/>
      <c r="E8" s="245">
        <f>IF('Energy Savings Calculator'!K13&lt;&gt;0,'Energy Savings Calculator'!K13,L7)</f>
        <v>14.422033898305086</v>
      </c>
      <c r="F8" s="275"/>
      <c r="H8" s="151"/>
      <c r="J8" s="238"/>
      <c r="K8" s="3"/>
      <c r="L8" s="3"/>
      <c r="M8" s="3"/>
      <c r="N8" s="3"/>
      <c r="O8" s="3"/>
      <c r="P8" s="244" t="s">
        <v>300</v>
      </c>
      <c r="Q8" s="455" t="s">
        <v>101</v>
      </c>
    </row>
    <row r="9" spans="1:17" ht="15" customHeight="1">
      <c r="A9" s="150"/>
      <c r="G9" s="3"/>
      <c r="H9" s="151"/>
      <c r="J9" s="456" t="s">
        <v>46</v>
      </c>
      <c r="K9" s="457"/>
      <c r="L9" s="457"/>
      <c r="M9" s="457"/>
      <c r="N9" s="458"/>
      <c r="O9" s="3"/>
      <c r="P9" s="3"/>
      <c r="Q9" s="151"/>
    </row>
    <row r="10" spans="1:17">
      <c r="A10" s="150"/>
      <c r="B10" s="423" t="s">
        <v>50</v>
      </c>
      <c r="C10" s="424"/>
      <c r="D10" s="424"/>
      <c r="E10" s="425"/>
      <c r="F10" s="3"/>
      <c r="G10" s="3"/>
      <c r="H10" s="151"/>
      <c r="J10" s="215" t="s">
        <v>47</v>
      </c>
      <c r="K10" s="179"/>
      <c r="L10" s="204" t="str">
        <f>J55</f>
        <v>Natural gas</v>
      </c>
      <c r="M10" s="204" t="s">
        <v>48</v>
      </c>
      <c r="N10" s="204" t="s">
        <v>49</v>
      </c>
      <c r="O10" s="3"/>
      <c r="P10" s="3"/>
      <c r="Q10" s="151"/>
    </row>
    <row r="11" spans="1:17" ht="15" customHeight="1">
      <c r="A11" s="150"/>
      <c r="B11" s="201" t="s">
        <v>52</v>
      </c>
      <c r="C11" s="5"/>
      <c r="D11" s="5"/>
      <c r="E11" s="6"/>
      <c r="F11" s="3"/>
      <c r="G11" s="3"/>
      <c r="H11" s="151"/>
      <c r="J11" s="217" t="s">
        <v>51</v>
      </c>
      <c r="K11" s="178"/>
      <c r="L11" s="174">
        <f>K55</f>
        <v>0.82</v>
      </c>
      <c r="M11" s="174">
        <f>K56</f>
        <v>0.83</v>
      </c>
      <c r="N11" s="174">
        <f>K57</f>
        <v>1</v>
      </c>
      <c r="O11" s="3"/>
      <c r="P11" s="3"/>
      <c r="Q11" s="151"/>
    </row>
    <row r="12" spans="1:17" ht="15" customHeight="1">
      <c r="A12" s="150"/>
      <c r="B12" s="197" t="s">
        <v>54</v>
      </c>
      <c r="C12" s="23"/>
      <c r="D12" s="23"/>
      <c r="E12" s="195" t="str">
        <f>IFERROR('Energy Savings Calculator'!E19,"")</f>
        <v>Fuel oil</v>
      </c>
      <c r="F12" s="3"/>
      <c r="G12" s="3"/>
      <c r="H12" s="151"/>
      <c r="J12" s="216" t="s">
        <v>53</v>
      </c>
      <c r="K12" s="183"/>
      <c r="L12" s="173">
        <f>L55</f>
        <v>2.79</v>
      </c>
      <c r="M12" s="173">
        <f>L56</f>
        <v>2.83</v>
      </c>
      <c r="N12" s="173">
        <f>L57</f>
        <v>3.4119999999999999</v>
      </c>
      <c r="O12" s="3"/>
      <c r="P12" s="3"/>
      <c r="Q12" s="151"/>
    </row>
    <row r="13" spans="1:17" ht="15" customHeight="1" thickBot="1">
      <c r="A13" s="150"/>
      <c r="B13" s="199" t="s">
        <v>51</v>
      </c>
      <c r="C13" s="196"/>
      <c r="D13" s="196"/>
      <c r="E13" s="200">
        <f>IFERROR(IF('Energy Savings Calculator'!K19&lt;&gt;0,'Energy Savings Calculator'!K19,VLOOKUP(E12,J55:M57,2,FALSE)),"")</f>
        <v>0.83</v>
      </c>
      <c r="F13" s="264" t="str">
        <f>IF('Energy Savings Calculator'!K19&lt;&gt;0,"User-Defined Input","Automatic Input")</f>
        <v>Automatic Input</v>
      </c>
      <c r="G13" s="3"/>
      <c r="H13" s="151"/>
      <c r="J13" s="217" t="s">
        <v>55</v>
      </c>
      <c r="K13" s="178"/>
      <c r="L13" s="174">
        <f>M55</f>
        <v>0.16</v>
      </c>
      <c r="M13" s="174">
        <f>M56</f>
        <v>0.16</v>
      </c>
      <c r="N13" s="174">
        <f>M57</f>
        <v>0</v>
      </c>
      <c r="O13" s="3"/>
      <c r="P13" s="3"/>
      <c r="Q13" s="151"/>
    </row>
    <row r="14" spans="1:17" ht="15" customHeight="1" thickTop="1">
      <c r="A14" s="150"/>
      <c r="B14" s="201" t="s">
        <v>56</v>
      </c>
      <c r="C14" s="5"/>
      <c r="D14" s="5"/>
      <c r="E14" s="6"/>
      <c r="F14" s="3"/>
      <c r="G14" s="3"/>
      <c r="H14" s="151"/>
      <c r="J14" s="150"/>
      <c r="K14" s="3"/>
      <c r="L14" s="3"/>
      <c r="M14" s="3"/>
      <c r="N14" s="3"/>
      <c r="O14" s="3"/>
      <c r="P14" s="3"/>
      <c r="Q14" s="151"/>
    </row>
    <row r="15" spans="1:17" ht="15" customHeight="1">
      <c r="A15" s="150"/>
      <c r="B15" s="197" t="s">
        <v>22</v>
      </c>
      <c r="C15" s="23"/>
      <c r="D15" s="23"/>
      <c r="E15" s="195" t="str">
        <f>IFERROR('Energy Savings Calculator'!E21,"")</f>
        <v>Central AC</v>
      </c>
      <c r="F15" s="3"/>
      <c r="G15" s="3"/>
      <c r="H15" s="151"/>
      <c r="J15" s="456" t="s">
        <v>57</v>
      </c>
      <c r="K15" s="457"/>
      <c r="L15" s="457"/>
      <c r="M15" s="458"/>
      <c r="N15" s="3"/>
      <c r="O15" s="3"/>
      <c r="P15" s="3"/>
      <c r="Q15" s="151"/>
    </row>
    <row r="16" spans="1:17" ht="15" customHeight="1">
      <c r="A16" s="150"/>
      <c r="B16" s="198" t="s">
        <v>60</v>
      </c>
      <c r="C16" s="13"/>
      <c r="D16" s="13"/>
      <c r="E16" s="192">
        <f>IFERROR(IF('Energy Savings Calculator'!E23&lt;&gt;0,'Energy Savings Calculator'!E23,1),"")</f>
        <v>1</v>
      </c>
      <c r="F16" s="264"/>
      <c r="G16" s="3"/>
      <c r="H16" s="151"/>
      <c r="J16" s="215" t="s">
        <v>58</v>
      </c>
      <c r="K16" s="179"/>
      <c r="L16" s="204" t="s">
        <v>16</v>
      </c>
      <c r="M16" s="204" t="s">
        <v>59</v>
      </c>
      <c r="N16" s="3"/>
      <c r="O16" s="3"/>
      <c r="P16" s="3"/>
      <c r="Q16" s="151"/>
    </row>
    <row r="17" spans="1:23">
      <c r="A17" s="150"/>
      <c r="B17" s="197" t="s">
        <v>62</v>
      </c>
      <c r="C17" s="23"/>
      <c r="D17" s="23"/>
      <c r="E17" s="195">
        <f>HLOOKUP(E15,$L$16:$M$18,3,0)</f>
        <v>3</v>
      </c>
      <c r="F17" s="264"/>
      <c r="G17" s="3"/>
      <c r="H17" s="151"/>
      <c r="J17" s="216" t="s">
        <v>61</v>
      </c>
      <c r="K17" s="183"/>
      <c r="L17" s="173">
        <v>1</v>
      </c>
      <c r="M17" s="173">
        <v>1</v>
      </c>
      <c r="N17" s="3"/>
      <c r="O17" s="3"/>
      <c r="P17" s="3"/>
      <c r="Q17" s="151"/>
      <c r="W17" s="363"/>
    </row>
    <row r="18" spans="1:23" ht="15" customHeight="1">
      <c r="A18" s="150"/>
      <c r="B18" s="197" t="s">
        <v>64</v>
      </c>
      <c r="C18" s="23"/>
      <c r="D18" s="23"/>
      <c r="E18" s="195">
        <f>IFERROR(E16*sizec,0)</f>
        <v>3</v>
      </c>
      <c r="F18" s="264"/>
      <c r="G18" s="3"/>
      <c r="H18" s="151"/>
      <c r="J18" s="217" t="s">
        <v>63</v>
      </c>
      <c r="K18" s="178"/>
      <c r="L18" s="174">
        <v>3</v>
      </c>
      <c r="M18" s="174">
        <v>1</v>
      </c>
      <c r="N18" s="3"/>
      <c r="O18" s="3"/>
      <c r="P18" s="3"/>
      <c r="Q18" s="151"/>
    </row>
    <row r="19" spans="1:23" ht="15" customHeight="1">
      <c r="A19" s="150"/>
      <c r="B19" s="198" t="s">
        <v>65</v>
      </c>
      <c r="C19" s="13"/>
      <c r="D19" s="13"/>
      <c r="E19" s="192">
        <f>IFERROR(IF('Energy Savings Calculator'!K21&lt;&gt;0,'Energy Savings Calculator'!K21,HLOOKUP(E15,L16:M20,4,FALSE)),"")</f>
        <v>14</v>
      </c>
      <c r="F19" s="264" t="str">
        <f>IF('Energy Savings Calculator'!K21&lt;&gt;0,"User-Defined Input","Automatic Input")</f>
        <v>Automatic Input</v>
      </c>
      <c r="G19" s="3"/>
      <c r="H19" s="151"/>
      <c r="J19" s="216" t="s">
        <v>65</v>
      </c>
      <c r="K19" s="183"/>
      <c r="L19" s="173">
        <f>K61</f>
        <v>14</v>
      </c>
      <c r="M19" s="246">
        <v>10.8</v>
      </c>
      <c r="N19" s="3"/>
      <c r="O19" s="3"/>
      <c r="P19" s="3"/>
      <c r="Q19" s="151"/>
    </row>
    <row r="20" spans="1:23" ht="15" customHeight="1">
      <c r="A20" s="150"/>
      <c r="B20" s="198" t="s">
        <v>28</v>
      </c>
      <c r="C20" s="13"/>
      <c r="D20" s="13"/>
      <c r="E20" s="378">
        <f>IF('Energy Savings Calculator'!K23=0,(_xlfn.IFS(E18&gt;=3,100%,E18=2,66%,E18=1,33%,E18=0,0%)),'Energy Savings Calculator'!K23)</f>
        <v>1</v>
      </c>
      <c r="F20" s="275"/>
      <c r="G20" s="3"/>
      <c r="H20" s="151"/>
      <c r="J20" s="217" t="s">
        <v>55</v>
      </c>
      <c r="K20" s="178"/>
      <c r="L20" s="174">
        <f>N61</f>
        <v>0.16</v>
      </c>
      <c r="M20" s="174">
        <v>0</v>
      </c>
      <c r="N20" s="3"/>
      <c r="O20" s="3"/>
      <c r="P20" s="3"/>
      <c r="Q20" s="151"/>
    </row>
    <row r="21" spans="1:23">
      <c r="A21" s="150"/>
      <c r="G21" s="3"/>
      <c r="H21" s="151"/>
      <c r="J21" s="150"/>
      <c r="K21" s="175"/>
      <c r="L21" s="176"/>
      <c r="M21" s="176"/>
      <c r="N21" s="176"/>
      <c r="O21" s="177"/>
      <c r="P21" s="3"/>
      <c r="Q21" s="151"/>
    </row>
    <row r="22" spans="1:23" ht="15" customHeight="1">
      <c r="A22" s="150"/>
      <c r="B22" s="392" t="s">
        <v>69</v>
      </c>
      <c r="C22" s="355"/>
      <c r="D22" s="355"/>
      <c r="E22" s="356"/>
      <c r="F22" s="3"/>
      <c r="G22" s="3"/>
      <c r="H22" s="151"/>
      <c r="J22" s="456" t="s">
        <v>66</v>
      </c>
      <c r="K22" s="457"/>
      <c r="L22" s="459"/>
      <c r="M22" s="214" t="s">
        <v>67</v>
      </c>
      <c r="N22" s="249" t="s">
        <v>68</v>
      </c>
      <c r="O22" s="259">
        <v>1.5</v>
      </c>
      <c r="P22" s="312">
        <v>4</v>
      </c>
      <c r="Q22" s="151"/>
    </row>
    <row r="23" spans="1:23" ht="15" customHeight="1">
      <c r="A23" s="150"/>
      <c r="B23" s="168" t="s">
        <v>63</v>
      </c>
      <c r="C23" s="5"/>
      <c r="D23" s="5"/>
      <c r="E23" s="205">
        <f>L23</f>
        <v>4</v>
      </c>
      <c r="F23" s="264"/>
      <c r="G23" s="3"/>
      <c r="H23" s="151"/>
      <c r="J23" s="215" t="s">
        <v>63</v>
      </c>
      <c r="K23" s="179"/>
      <c r="L23" s="204">
        <f>VLOOKUP('Energy Savings Calculator'!E27,Calculations!$J$27:$M$28,4,0)</f>
        <v>4</v>
      </c>
      <c r="M23" s="217" t="s">
        <v>70</v>
      </c>
      <c r="N23" s="178"/>
      <c r="O23" s="260">
        <f>L49</f>
        <v>0.37492694330800702</v>
      </c>
      <c r="P23" s="313">
        <v>1</v>
      </c>
      <c r="Q23" s="151"/>
    </row>
    <row r="24" spans="1:23" ht="15" customHeight="1">
      <c r="A24" s="150"/>
      <c r="B24" s="194" t="s">
        <v>53</v>
      </c>
      <c r="C24" s="23"/>
      <c r="D24" s="23"/>
      <c r="E24" s="494">
        <f>IFERROR(IF('Energy Savings Calculator'!K27&lt;&gt;0,'Energy Savings Calculator'!K27,L24),"")*3.412</f>
        <v>10.9184</v>
      </c>
      <c r="F24" s="264" t="str">
        <f>IF('Energy Savings Calculator'!K27&lt;&gt;0,"User-Defined Input","Automatic Input")</f>
        <v>Automatic Input</v>
      </c>
      <c r="G24" s="3"/>
      <c r="H24" s="151"/>
      <c r="J24" s="216" t="s">
        <v>71</v>
      </c>
      <c r="K24" s="183"/>
      <c r="L24" s="173">
        <f>VLOOKUP('Energy Savings Calculator'!E29,Calculations!$O$26:$P$29,2,0)</f>
        <v>3.2</v>
      </c>
      <c r="M24" s="216" t="s">
        <v>30</v>
      </c>
      <c r="N24" s="183"/>
      <c r="O24" s="261">
        <f>N49</f>
        <v>0.3750894774516822</v>
      </c>
      <c r="P24" s="314">
        <v>1</v>
      </c>
      <c r="Q24" s="151"/>
    </row>
    <row r="25" spans="1:23" ht="15" customHeight="1">
      <c r="A25" s="150"/>
      <c r="B25" s="191" t="s">
        <v>28</v>
      </c>
      <c r="C25" s="13"/>
      <c r="D25" s="13"/>
      <c r="E25" s="247">
        <f>IFERROR(IF('Energy Savings Calculator'!K33&lt;&gt;0,'Energy Savings Calculator'!K33,HLOOKUP(sizea,O22:P24,2,TRUE)),0)</f>
        <v>1</v>
      </c>
      <c r="F25" s="264" t="str">
        <f>IF('Energy Savings Calculator'!K33&lt;&gt;0,"User-Defined Input","Automatic Input")</f>
        <v>Automatic Input</v>
      </c>
      <c r="G25" s="3"/>
      <c r="H25" s="151"/>
      <c r="J25" s="238"/>
      <c r="K25" s="3"/>
      <c r="L25" s="3"/>
      <c r="M25" s="3"/>
      <c r="N25" s="3"/>
      <c r="O25" s="3"/>
      <c r="P25" s="3"/>
      <c r="Q25" s="240"/>
    </row>
    <row r="26" spans="1:23" ht="15" customHeight="1">
      <c r="A26" s="150"/>
      <c r="B26" s="194" t="s">
        <v>30</v>
      </c>
      <c r="C26" s="23"/>
      <c r="D26" s="23"/>
      <c r="E26" s="248">
        <f>IFERROR(IF('Energy Savings Calculator'!K29&lt;&gt;0,'Energy Savings Calculator'!K29,HLOOKUP(sizea,O22:P24,3,TRUE)),0)</f>
        <v>1</v>
      </c>
      <c r="F26" s="264" t="str">
        <f>IF('Energy Savings Calculator'!K29&lt;&gt;0,"User-Defined Input","Automatic Input")</f>
        <v>Automatic Input</v>
      </c>
      <c r="G26" s="3"/>
      <c r="H26" s="151"/>
      <c r="J26" s="456" t="s">
        <v>72</v>
      </c>
      <c r="K26" s="457"/>
      <c r="L26" s="458"/>
      <c r="M26" s="340" t="s">
        <v>73</v>
      </c>
      <c r="N26" s="3"/>
      <c r="O26" s="341" t="s">
        <v>74</v>
      </c>
      <c r="P26" s="340" t="s">
        <v>71</v>
      </c>
      <c r="Q26" s="240"/>
    </row>
    <row r="27" spans="1:23">
      <c r="A27" s="150"/>
      <c r="B27" s="191" t="s">
        <v>65</v>
      </c>
      <c r="C27" s="13"/>
      <c r="D27" s="13"/>
      <c r="E27" s="202">
        <f>IFERROR(IF('Energy Savings Calculator'!K31&lt;&gt;0,'Energy Savings Calculator'!K31,VLOOKUP(E24,J66:O68,6,TRUE)),"")</f>
        <v>18</v>
      </c>
      <c r="F27" s="264" t="str">
        <f>IF('Energy Savings Calculator'!K31&lt;&gt;0,"User-Defined Input","Automatic Input")</f>
        <v>Automatic Input</v>
      </c>
      <c r="G27" s="3"/>
      <c r="H27" s="151"/>
      <c r="J27" s="215" t="s">
        <v>75</v>
      </c>
      <c r="K27" s="179"/>
      <c r="L27" s="204"/>
      <c r="M27" s="204">
        <v>4</v>
      </c>
      <c r="N27" s="3"/>
      <c r="O27" s="342" t="s">
        <v>76</v>
      </c>
      <c r="P27" s="204">
        <v>2.4</v>
      </c>
      <c r="Q27" s="240"/>
    </row>
    <row r="28" spans="1:23" ht="15" customHeight="1">
      <c r="A28" s="150"/>
      <c r="G28" s="3"/>
      <c r="H28" s="151"/>
      <c r="J28" s="217" t="s">
        <v>23</v>
      </c>
      <c r="K28" s="178"/>
      <c r="L28" s="174"/>
      <c r="M28" s="174">
        <v>1.5</v>
      </c>
      <c r="N28" s="3"/>
      <c r="O28" s="343" t="s">
        <v>26</v>
      </c>
      <c r="P28" s="173">
        <v>2.8</v>
      </c>
      <c r="Q28" s="240"/>
    </row>
    <row r="29" spans="1:23" ht="15" customHeight="1" thickBot="1">
      <c r="A29" s="150"/>
      <c r="G29" s="3"/>
      <c r="H29" s="151"/>
      <c r="J29" s="460"/>
      <c r="K29" s="461"/>
      <c r="L29" s="461"/>
      <c r="M29" s="461"/>
      <c r="N29" s="461"/>
      <c r="O29" s="462" t="s">
        <v>77</v>
      </c>
      <c r="P29" s="463">
        <v>3.2</v>
      </c>
      <c r="Q29" s="464"/>
    </row>
    <row r="30" spans="1:23" ht="26.25">
      <c r="A30" s="147" t="s">
        <v>78</v>
      </c>
      <c r="B30" s="148"/>
      <c r="C30" s="148"/>
      <c r="D30" s="148"/>
      <c r="E30" s="148"/>
      <c r="F30" s="148"/>
      <c r="G30" s="148"/>
      <c r="H30" s="149"/>
      <c r="J30" s="147" t="s">
        <v>79</v>
      </c>
      <c r="K30" s="148"/>
      <c r="L30" s="148"/>
      <c r="M30" s="148"/>
      <c r="N30" s="148"/>
      <c r="O30" s="148"/>
      <c r="P30" s="148"/>
      <c r="Q30" s="149"/>
      <c r="S30" s="243"/>
    </row>
    <row r="31" spans="1:23" ht="15" customHeight="1">
      <c r="A31" s="166">
        <v>1</v>
      </c>
      <c r="B31" s="157" t="s">
        <v>80</v>
      </c>
      <c r="C31" s="158">
        <v>12000</v>
      </c>
      <c r="D31" s="5" t="s">
        <v>81</v>
      </c>
      <c r="F31" s="239"/>
      <c r="G31" s="239"/>
      <c r="H31" s="151"/>
      <c r="J31" s="226" t="s">
        <v>82</v>
      </c>
      <c r="K31" s="3"/>
      <c r="L31" s="3"/>
      <c r="M31" s="169" t="s">
        <v>83</v>
      </c>
      <c r="N31" s="3"/>
      <c r="O31" s="146"/>
      <c r="P31" s="3"/>
      <c r="Q31" s="151"/>
    </row>
    <row r="32" spans="1:23" ht="15" customHeight="1">
      <c r="A32" s="167">
        <v>1</v>
      </c>
      <c r="B32" s="159" t="s">
        <v>84</v>
      </c>
      <c r="C32" s="160">
        <v>1055</v>
      </c>
      <c r="D32" s="13" t="s">
        <v>85</v>
      </c>
      <c r="E32" s="239"/>
      <c r="F32" s="239"/>
      <c r="G32" s="239"/>
      <c r="H32" s="151"/>
      <c r="J32" s="227"/>
      <c r="K32" s="485" t="s">
        <v>6</v>
      </c>
      <c r="L32" s="486"/>
      <c r="M32" s="485" t="s">
        <v>277</v>
      </c>
      <c r="N32" s="486"/>
      <c r="O32" s="3"/>
      <c r="P32" s="203" t="s">
        <v>86</v>
      </c>
      <c r="Q32" s="414" t="s">
        <v>87</v>
      </c>
    </row>
    <row r="33" spans="1:27" ht="15" customHeight="1">
      <c r="A33" s="167">
        <v>1</v>
      </c>
      <c r="B33" s="159" t="s">
        <v>88</v>
      </c>
      <c r="C33" s="161">
        <v>3412.14</v>
      </c>
      <c r="D33" s="13" t="s">
        <v>89</v>
      </c>
      <c r="E33" s="239"/>
      <c r="F33" s="239"/>
      <c r="G33" s="239"/>
      <c r="H33" s="151"/>
      <c r="J33" s="228" t="s">
        <v>90</v>
      </c>
      <c r="K33" s="184" t="s">
        <v>91</v>
      </c>
      <c r="L33" s="185" t="s">
        <v>92</v>
      </c>
      <c r="M33" s="184" t="s">
        <v>91</v>
      </c>
      <c r="N33" s="185" t="s">
        <v>92</v>
      </c>
      <c r="O33" s="3"/>
      <c r="P33" s="258" t="s">
        <v>93</v>
      </c>
      <c r="Q33" s="415">
        <v>65</v>
      </c>
    </row>
    <row r="34" spans="1:27" ht="15" customHeight="1">
      <c r="A34" s="167">
        <v>1</v>
      </c>
      <c r="B34" s="159" t="s">
        <v>94</v>
      </c>
      <c r="C34" s="160">
        <v>1000000</v>
      </c>
      <c r="D34" s="15" t="s">
        <v>89</v>
      </c>
      <c r="E34" s="239"/>
      <c r="F34" s="239"/>
      <c r="G34" s="239"/>
      <c r="H34" s="151"/>
      <c r="J34" s="216" t="s">
        <v>9</v>
      </c>
      <c r="K34" s="186">
        <v>670</v>
      </c>
      <c r="L34" s="187">
        <v>867</v>
      </c>
      <c r="M34" s="186">
        <v>507</v>
      </c>
      <c r="N34" s="187">
        <v>757</v>
      </c>
      <c r="O34" s="3"/>
      <c r="P34" s="257" t="s">
        <v>95</v>
      </c>
      <c r="Q34" s="416">
        <v>1284</v>
      </c>
    </row>
    <row r="35" spans="1:27" ht="15" customHeight="1">
      <c r="A35" s="167">
        <v>1</v>
      </c>
      <c r="B35" s="159" t="s">
        <v>96</v>
      </c>
      <c r="C35" s="162">
        <v>0.1</v>
      </c>
      <c r="D35" s="15" t="s">
        <v>97</v>
      </c>
      <c r="E35" s="239"/>
      <c r="F35" s="239"/>
      <c r="G35" s="239"/>
      <c r="H35" s="151"/>
      <c r="J35" s="217" t="s">
        <v>98</v>
      </c>
      <c r="K35" s="171">
        <v>649</v>
      </c>
      <c r="L35" s="170">
        <v>786</v>
      </c>
      <c r="M35" s="172">
        <v>550</v>
      </c>
      <c r="N35" s="170">
        <v>723</v>
      </c>
      <c r="O35" s="3"/>
      <c r="P35" s="258" t="s">
        <v>99</v>
      </c>
      <c r="Q35" s="417">
        <v>4493</v>
      </c>
    </row>
    <row r="36" spans="1:27" ht="15" customHeight="1">
      <c r="A36" s="167">
        <v>1</v>
      </c>
      <c r="B36" s="159" t="s">
        <v>100</v>
      </c>
      <c r="C36" s="163">
        <v>0.13</v>
      </c>
      <c r="D36" s="15" t="s">
        <v>97</v>
      </c>
      <c r="E36" s="239"/>
      <c r="F36" s="239"/>
      <c r="G36" s="239"/>
      <c r="H36" s="151"/>
      <c r="J36" s="216" t="s">
        <v>101</v>
      </c>
      <c r="K36" s="188">
        <v>630</v>
      </c>
      <c r="L36" s="189">
        <v>725</v>
      </c>
      <c r="M36" s="188">
        <v>562</v>
      </c>
      <c r="N36" s="189">
        <v>503</v>
      </c>
      <c r="O36" s="3"/>
      <c r="P36" s="257" t="s">
        <v>102</v>
      </c>
      <c r="Q36" s="416">
        <v>89.6</v>
      </c>
    </row>
    <row r="37" spans="1:27" ht="15" customHeight="1">
      <c r="A37" s="167">
        <v>1</v>
      </c>
      <c r="B37" s="159" t="s">
        <v>103</v>
      </c>
      <c r="C37" s="13">
        <v>0.13900000000000001</v>
      </c>
      <c r="D37" s="15" t="s">
        <v>104</v>
      </c>
      <c r="E37" s="239"/>
      <c r="F37" s="239"/>
      <c r="G37" s="239"/>
      <c r="H37" s="151"/>
      <c r="I37" s="3"/>
      <c r="J37" s="150"/>
      <c r="K37" s="3"/>
      <c r="L37" s="3"/>
      <c r="M37" s="3"/>
      <c r="N37" s="3"/>
      <c r="O37" s="3"/>
      <c r="P37" s="258" t="s">
        <v>105</v>
      </c>
      <c r="Q37" s="417">
        <v>18.399999999999999</v>
      </c>
    </row>
    <row r="38" spans="1:27" ht="15" customHeight="1">
      <c r="A38" s="167">
        <v>1</v>
      </c>
      <c r="B38" s="159" t="s">
        <v>106</v>
      </c>
      <c r="C38" s="164">
        <v>1</v>
      </c>
      <c r="D38" s="13" t="s">
        <v>107</v>
      </c>
      <c r="E38" s="239"/>
      <c r="F38" s="239"/>
      <c r="G38" s="239"/>
      <c r="H38" s="151"/>
      <c r="J38" s="227"/>
      <c r="K38" s="485" t="s">
        <v>6</v>
      </c>
      <c r="L38" s="486"/>
      <c r="M38" s="485" t="s">
        <v>313</v>
      </c>
      <c r="N38" s="486"/>
      <c r="O38" s="3"/>
      <c r="P38" s="257" t="s">
        <v>108</v>
      </c>
      <c r="Q38" s="416">
        <f>(Q34*$C$40)/(Q36-Q33)</f>
        <v>1252.6829268292686</v>
      </c>
    </row>
    <row r="39" spans="1:27" ht="15" customHeight="1">
      <c r="A39" s="167">
        <v>1</v>
      </c>
      <c r="B39" s="159" t="s">
        <v>109</v>
      </c>
      <c r="C39" s="165">
        <v>3600</v>
      </c>
      <c r="D39" s="13" t="s">
        <v>85</v>
      </c>
      <c r="E39" s="239"/>
      <c r="F39" s="239"/>
      <c r="G39" s="239"/>
      <c r="H39" s="151"/>
      <c r="J39" s="228" t="s">
        <v>90</v>
      </c>
      <c r="K39" s="184" t="s">
        <v>91</v>
      </c>
      <c r="L39" s="185" t="s">
        <v>92</v>
      </c>
      <c r="M39" s="184" t="s">
        <v>91</v>
      </c>
      <c r="N39" s="185" t="s">
        <v>92</v>
      </c>
      <c r="O39" s="3"/>
      <c r="P39" s="258" t="s">
        <v>110</v>
      </c>
      <c r="Q39" s="418">
        <f>(Q35*$C$40)/(Q33-Q37)</f>
        <v>2313.9914163090129</v>
      </c>
    </row>
    <row r="40" spans="1:27" ht="15" customHeight="1">
      <c r="A40" s="167">
        <v>1</v>
      </c>
      <c r="B40" s="159" t="s">
        <v>111</v>
      </c>
      <c r="C40" s="164">
        <v>24</v>
      </c>
      <c r="D40" s="13" t="s">
        <v>112</v>
      </c>
      <c r="E40" s="239"/>
      <c r="F40" s="239"/>
      <c r="G40" s="239"/>
      <c r="H40" s="151"/>
      <c r="J40" s="216" t="s">
        <v>9</v>
      </c>
      <c r="K40" s="362">
        <f t="shared" ref="K40:L42" si="0">K34/K$35</f>
        <v>1.0323574730354392</v>
      </c>
      <c r="L40" s="362">
        <f t="shared" si="0"/>
        <v>1.1030534351145038</v>
      </c>
      <c r="M40" s="362">
        <f t="shared" ref="M40:N42" si="1">M34/K$35</f>
        <v>0.78120184899845913</v>
      </c>
      <c r="N40" s="362">
        <f t="shared" si="1"/>
        <v>0.96310432569974558</v>
      </c>
      <c r="O40" s="3"/>
      <c r="P40" s="3"/>
      <c r="Q40" s="151"/>
    </row>
    <row r="41" spans="1:27" ht="15" customHeight="1" thickBot="1">
      <c r="A41" s="167">
        <v>1</v>
      </c>
      <c r="B41" s="159" t="s">
        <v>88</v>
      </c>
      <c r="C41" s="375">
        <f>C33/C34</f>
        <v>3.4121399999999997E-3</v>
      </c>
      <c r="D41" s="13" t="s">
        <v>97</v>
      </c>
      <c r="E41" s="239"/>
      <c r="F41" s="239"/>
      <c r="G41" s="239"/>
      <c r="H41" s="151"/>
      <c r="J41" s="217" t="s">
        <v>98</v>
      </c>
      <c r="K41" s="362">
        <f t="shared" si="0"/>
        <v>1</v>
      </c>
      <c r="L41" s="362">
        <f t="shared" si="0"/>
        <v>1</v>
      </c>
      <c r="M41" s="362">
        <f>M35/K$35</f>
        <v>0.84745762711864403</v>
      </c>
      <c r="N41" s="362">
        <f t="shared" si="1"/>
        <v>0.91984732824427484</v>
      </c>
      <c r="O41" s="3"/>
      <c r="P41" s="3"/>
      <c r="Q41" s="151"/>
    </row>
    <row r="42" spans="1:27" ht="15" customHeight="1" thickBot="1">
      <c r="A42" s="150"/>
      <c r="B42" s="152"/>
      <c r="C42" s="153"/>
      <c r="D42" s="3"/>
      <c r="E42" s="239"/>
      <c r="F42" s="239"/>
      <c r="G42" s="239"/>
      <c r="H42" s="151"/>
      <c r="J42" s="216" t="s">
        <v>101</v>
      </c>
      <c r="K42" s="362">
        <f t="shared" si="0"/>
        <v>0.97072419106317409</v>
      </c>
      <c r="L42" s="362">
        <f t="shared" si="0"/>
        <v>0.92239185750636132</v>
      </c>
      <c r="M42" s="362">
        <f t="shared" si="1"/>
        <v>0.86594761171032353</v>
      </c>
      <c r="N42" s="362">
        <f t="shared" si="1"/>
        <v>0.63994910941475824</v>
      </c>
      <c r="O42" s="3"/>
      <c r="P42" s="3"/>
      <c r="Q42" s="151"/>
      <c r="Y42" s="364" t="s">
        <v>113</v>
      </c>
      <c r="Z42" s="365" t="s">
        <v>46</v>
      </c>
      <c r="AA42" s="365" t="s">
        <v>57</v>
      </c>
    </row>
    <row r="43" spans="1:27" ht="15.75" thickBot="1">
      <c r="A43" s="150"/>
      <c r="B43" s="152"/>
      <c r="C43" s="153"/>
      <c r="D43" s="3"/>
      <c r="E43" s="239"/>
      <c r="F43" s="239"/>
      <c r="G43" s="239"/>
      <c r="H43" s="151"/>
      <c r="I43" s="3"/>
      <c r="J43" s="150"/>
      <c r="K43" s="3"/>
      <c r="L43" s="3"/>
      <c r="M43" s="3"/>
      <c r="N43" s="3"/>
      <c r="O43" s="3"/>
      <c r="P43" s="3"/>
      <c r="Q43" s="151"/>
      <c r="Y43" s="366" t="s">
        <v>114</v>
      </c>
      <c r="Z43" s="367" t="s">
        <v>115</v>
      </c>
      <c r="AA43" s="367" t="s">
        <v>116</v>
      </c>
    </row>
    <row r="44" spans="1:27" ht="15.75" thickBot="1">
      <c r="A44" s="150"/>
      <c r="B44" s="152"/>
      <c r="C44" s="153"/>
      <c r="D44" s="3"/>
      <c r="E44" s="239"/>
      <c r="F44" s="239"/>
      <c r="G44" s="239"/>
      <c r="H44" s="151"/>
      <c r="I44" s="3"/>
      <c r="J44" s="419" t="s">
        <v>117</v>
      </c>
      <c r="K44" s="3"/>
      <c r="L44" s="3"/>
      <c r="M44" s="265"/>
      <c r="N44" s="3"/>
      <c r="O44" s="3"/>
      <c r="P44" s="3"/>
      <c r="Q44" s="151"/>
      <c r="Y44" s="366" t="s">
        <v>118</v>
      </c>
      <c r="Z44" s="367" t="s">
        <v>115</v>
      </c>
      <c r="AA44" s="367" t="s">
        <v>116</v>
      </c>
    </row>
    <row r="45" spans="1:27" ht="15" customHeight="1" thickBot="1">
      <c r="A45" s="150"/>
      <c r="B45" s="152"/>
      <c r="C45" s="153"/>
      <c r="D45" s="3"/>
      <c r="E45" s="239"/>
      <c r="F45" s="239"/>
      <c r="G45" s="239"/>
      <c r="H45" s="151"/>
      <c r="J45" s="396" t="s">
        <v>113</v>
      </c>
      <c r="K45" s="485" t="s">
        <v>46</v>
      </c>
      <c r="L45" s="486" t="s">
        <v>119</v>
      </c>
      <c r="M45" s="485" t="s">
        <v>57</v>
      </c>
      <c r="N45" s="486" t="s">
        <v>119</v>
      </c>
      <c r="O45" s="3"/>
      <c r="P45" s="3"/>
      <c r="Q45" s="151"/>
      <c r="Y45" s="366" t="s">
        <v>120</v>
      </c>
      <c r="Z45" s="367" t="s">
        <v>121</v>
      </c>
      <c r="AA45" s="367" t="s">
        <v>116</v>
      </c>
    </row>
    <row r="46" spans="1:27" ht="15" customHeight="1" thickBot="1">
      <c r="A46" s="150"/>
      <c r="B46" s="152"/>
      <c r="C46" s="153"/>
      <c r="D46" s="3"/>
      <c r="E46" s="239"/>
      <c r="F46" s="239"/>
      <c r="G46" s="239"/>
      <c r="H46" s="151"/>
      <c r="J46" s="228" t="s">
        <v>114</v>
      </c>
      <c r="K46" s="184">
        <v>68.44</v>
      </c>
      <c r="L46" s="185" t="s">
        <v>122</v>
      </c>
      <c r="M46" s="184">
        <v>13.97</v>
      </c>
      <c r="N46" s="185" t="s">
        <v>122</v>
      </c>
      <c r="O46" s="3"/>
      <c r="P46" s="3"/>
      <c r="Q46" s="151"/>
      <c r="Y46" s="366" t="s">
        <v>123</v>
      </c>
      <c r="Z46" s="367" t="s">
        <v>124</v>
      </c>
      <c r="AA46" s="367" t="s">
        <v>125</v>
      </c>
    </row>
    <row r="47" spans="1:27" ht="15" customHeight="1">
      <c r="A47" s="150"/>
      <c r="B47" s="152"/>
      <c r="C47" s="153"/>
      <c r="D47" s="3"/>
      <c r="E47" s="239"/>
      <c r="F47" s="239"/>
      <c r="G47" s="239"/>
      <c r="H47" s="151"/>
      <c r="J47" s="216" t="s">
        <v>118</v>
      </c>
      <c r="K47" s="369">
        <v>68.44</v>
      </c>
      <c r="L47" s="362">
        <f>K47/$K$46</f>
        <v>1</v>
      </c>
      <c r="M47" s="369">
        <v>13.97</v>
      </c>
      <c r="N47" s="362">
        <f>M47/$M$46</f>
        <v>1</v>
      </c>
      <c r="O47" s="3"/>
      <c r="P47" s="3"/>
      <c r="Q47" s="151"/>
      <c r="Y47" s="368"/>
      <c r="Z47" s="46"/>
      <c r="AA47" s="46"/>
    </row>
    <row r="48" spans="1:27" ht="15" customHeight="1">
      <c r="A48" s="150"/>
      <c r="B48" s="152"/>
      <c r="C48" s="153"/>
      <c r="D48" s="3"/>
      <c r="E48" s="239"/>
      <c r="F48" s="239"/>
      <c r="G48" s="239"/>
      <c r="H48" s="151"/>
      <c r="J48" s="217" t="s">
        <v>120</v>
      </c>
      <c r="K48" s="369">
        <v>65.81</v>
      </c>
      <c r="L48" s="362">
        <f>K48/$K$46</f>
        <v>0.96157218001168909</v>
      </c>
      <c r="M48" s="369">
        <v>13.97</v>
      </c>
      <c r="N48" s="362">
        <f>M48/$M$46</f>
        <v>1</v>
      </c>
      <c r="O48" s="3"/>
      <c r="P48" s="3"/>
      <c r="Q48" s="151"/>
    </row>
    <row r="49" spans="1:24" ht="15" customHeight="1">
      <c r="A49" s="150"/>
      <c r="B49" s="152"/>
      <c r="C49" s="153"/>
      <c r="D49" s="3"/>
      <c r="E49" s="239"/>
      <c r="F49" s="239"/>
      <c r="G49" s="239"/>
      <c r="H49" s="151"/>
      <c r="J49" s="216" t="s">
        <v>123</v>
      </c>
      <c r="K49" s="369">
        <v>25.66</v>
      </c>
      <c r="L49" s="362">
        <f>K49/$K$46</f>
        <v>0.37492694330800702</v>
      </c>
      <c r="M49" s="369">
        <v>5.24</v>
      </c>
      <c r="N49" s="362">
        <f>M49/$M$46</f>
        <v>0.3750894774516822</v>
      </c>
      <c r="O49" s="3"/>
      <c r="P49" s="3"/>
      <c r="Q49" s="151"/>
    </row>
    <row r="50" spans="1:24" ht="15" customHeight="1">
      <c r="A50" s="150"/>
      <c r="B50" s="152"/>
      <c r="C50" s="153"/>
      <c r="D50" s="3"/>
      <c r="E50" s="239"/>
      <c r="F50" s="239"/>
      <c r="G50" s="239"/>
      <c r="H50" s="151"/>
      <c r="I50" s="3"/>
      <c r="J50" s="150"/>
      <c r="K50" s="3"/>
      <c r="L50" s="3"/>
      <c r="M50" s="3"/>
      <c r="N50" s="3"/>
      <c r="O50" s="3"/>
      <c r="P50" s="3"/>
      <c r="Q50" s="151"/>
    </row>
    <row r="51" spans="1:24" ht="15" customHeight="1" thickBot="1">
      <c r="A51" s="154"/>
      <c r="B51" s="155"/>
      <c r="C51" s="155"/>
      <c r="D51" s="155"/>
      <c r="E51" s="155"/>
      <c r="F51" s="155"/>
      <c r="G51" s="155"/>
      <c r="H51" s="156"/>
      <c r="J51" s="154"/>
      <c r="K51" s="155"/>
      <c r="L51" s="155"/>
      <c r="M51" s="155"/>
      <c r="N51" s="155"/>
      <c r="O51" s="155"/>
      <c r="P51" s="155"/>
      <c r="Q51" s="156"/>
    </row>
    <row r="52" spans="1:24" ht="26.25">
      <c r="A52" s="147" t="s">
        <v>126</v>
      </c>
      <c r="B52" s="148"/>
      <c r="C52" s="148"/>
      <c r="D52" s="148"/>
      <c r="E52" s="148"/>
      <c r="F52" s="148"/>
      <c r="G52" s="148"/>
      <c r="H52" s="149"/>
      <c r="J52" s="147" t="s">
        <v>127</v>
      </c>
      <c r="K52" s="148"/>
      <c r="L52" s="148"/>
      <c r="M52" s="148"/>
      <c r="N52" s="148"/>
      <c r="O52" s="148"/>
      <c r="P52" s="148"/>
      <c r="Q52" s="149"/>
    </row>
    <row r="53" spans="1:24" ht="15" customHeight="1" thickBot="1">
      <c r="A53" s="150"/>
      <c r="B53" s="489" t="s">
        <v>128</v>
      </c>
      <c r="C53" s="490"/>
      <c r="D53" s="491"/>
      <c r="E53" s="489" t="s">
        <v>129</v>
      </c>
      <c r="F53" s="490"/>
      <c r="G53" s="491"/>
      <c r="H53" s="151"/>
      <c r="J53" s="206" t="s">
        <v>130</v>
      </c>
      <c r="K53" s="47"/>
      <c r="L53" s="47"/>
      <c r="M53" s="3"/>
      <c r="N53" s="3"/>
      <c r="O53" s="3"/>
      <c r="P53" s="3"/>
      <c r="Q53" s="151"/>
      <c r="W53" s="3"/>
      <c r="X53" s="3"/>
    </row>
    <row r="54" spans="1:24" ht="15" customHeight="1">
      <c r="A54" s="150"/>
      <c r="B54" s="299" t="s">
        <v>131</v>
      </c>
      <c r="C54" s="300"/>
      <c r="D54" s="397">
        <f>E7</f>
        <v>75.49297709923664</v>
      </c>
      <c r="E54" s="191" t="s">
        <v>132</v>
      </c>
      <c r="F54" s="13"/>
      <c r="G54" s="14">
        <f>sizea</f>
        <v>4</v>
      </c>
      <c r="H54" s="151"/>
      <c r="J54" s="207" t="s">
        <v>47</v>
      </c>
      <c r="K54" s="208" t="s">
        <v>51</v>
      </c>
      <c r="L54" s="208" t="s">
        <v>53</v>
      </c>
      <c r="M54" s="208" t="s">
        <v>55</v>
      </c>
      <c r="N54" s="3"/>
      <c r="O54" s="203"/>
      <c r="P54" s="276" t="s">
        <v>51</v>
      </c>
      <c r="Q54" s="151"/>
      <c r="W54" s="3"/>
      <c r="X54" s="3"/>
    </row>
    <row r="55" spans="1:24" ht="15" customHeight="1">
      <c r="A55" s="150"/>
      <c r="B55" s="294" t="s">
        <v>47</v>
      </c>
      <c r="C55" s="294"/>
      <c r="D55" s="441" t="str">
        <f>E12</f>
        <v>Fuel oil</v>
      </c>
      <c r="E55" s="194" t="s">
        <v>133</v>
      </c>
      <c r="F55" s="23"/>
      <c r="G55" s="24">
        <f>E24/3.412</f>
        <v>3.2</v>
      </c>
      <c r="H55" s="151"/>
      <c r="J55" s="209" t="s">
        <v>13</v>
      </c>
      <c r="K55" s="25">
        <v>0.82</v>
      </c>
      <c r="L55" s="25">
        <v>2.79</v>
      </c>
      <c r="M55" s="25">
        <v>0.16</v>
      </c>
      <c r="N55" s="3"/>
      <c r="O55" s="258" t="str">
        <f>F13</f>
        <v>Automatic Input</v>
      </c>
      <c r="P55" s="14">
        <f>E13</f>
        <v>0.83</v>
      </c>
      <c r="Q55" s="151"/>
      <c r="S55" s="3"/>
      <c r="T55" s="3"/>
      <c r="U55" s="3"/>
      <c r="V55" s="3"/>
      <c r="W55" s="3"/>
      <c r="X55" s="3"/>
    </row>
    <row r="56" spans="1:24" ht="15" customHeight="1" thickBot="1">
      <c r="A56" s="150"/>
      <c r="B56" s="294" t="s">
        <v>51</v>
      </c>
      <c r="C56" s="296"/>
      <c r="D56" s="14">
        <f>P55</f>
        <v>0.83</v>
      </c>
      <c r="E56" s="268" t="s">
        <v>134</v>
      </c>
      <c r="F56" s="269"/>
      <c r="G56" s="270">
        <f>G59/3.412</f>
        <v>2.8505600000000002</v>
      </c>
      <c r="H56" s="151"/>
      <c r="J56" s="210" t="s">
        <v>135</v>
      </c>
      <c r="K56" s="24">
        <v>0.83</v>
      </c>
      <c r="L56" s="24">
        <v>2.83</v>
      </c>
      <c r="M56" s="24">
        <v>0.16</v>
      </c>
      <c r="N56" s="3"/>
      <c r="P56" s="3"/>
      <c r="Q56" s="151"/>
      <c r="W56" s="3"/>
      <c r="X56" s="3"/>
    </row>
    <row r="57" spans="1:24" ht="15" customHeight="1" thickTop="1">
      <c r="A57" s="150"/>
      <c r="B57" s="295" t="s">
        <v>53</v>
      </c>
      <c r="C57" s="297"/>
      <c r="D57" s="24">
        <f>IFERROR(VLOOKUP(D56,$K$55:$M$57,2,TRUE),D56*3.412)</f>
        <v>2.83</v>
      </c>
      <c r="E57" s="266" t="s">
        <v>136</v>
      </c>
      <c r="F57" s="10"/>
      <c r="G57" s="267">
        <f>G55*3.412</f>
        <v>10.9184</v>
      </c>
      <c r="H57" s="151"/>
      <c r="J57" s="211" t="s">
        <v>49</v>
      </c>
      <c r="K57" s="6">
        <v>1</v>
      </c>
      <c r="L57" s="6">
        <v>3.4119999999999999</v>
      </c>
      <c r="M57" s="6">
        <v>0</v>
      </c>
      <c r="N57" s="3"/>
      <c r="Q57" s="151"/>
      <c r="W57" s="3"/>
      <c r="X57" s="3"/>
    </row>
    <row r="58" spans="1:24" ht="15" customHeight="1">
      <c r="A58" s="150"/>
      <c r="B58" s="294" t="s">
        <v>55</v>
      </c>
      <c r="C58" s="296"/>
      <c r="D58" s="373">
        <f>VLOOKUP($D$55,$J$55:$M$57,4,FALSE)</f>
        <v>0.16</v>
      </c>
      <c r="E58" s="191" t="s">
        <v>137</v>
      </c>
      <c r="F58" s="5"/>
      <c r="G58" s="351">
        <f>VLOOKUP(G55,J66:P68,4,TRUE)</f>
        <v>0.10920000000000001</v>
      </c>
      <c r="H58" s="151"/>
      <c r="I58" s="3"/>
      <c r="J58" s="150"/>
      <c r="K58" s="3"/>
      <c r="L58" s="3"/>
      <c r="M58" s="3"/>
      <c r="N58" s="3"/>
      <c r="Q58" s="151"/>
      <c r="S58" s="128"/>
      <c r="V58" s="3"/>
      <c r="W58" s="3"/>
      <c r="X58" s="3"/>
    </row>
    <row r="59" spans="1:24" ht="15" customHeight="1" thickBot="1">
      <c r="A59" s="150"/>
      <c r="B59" s="301" t="s">
        <v>92</v>
      </c>
      <c r="C59" s="302"/>
      <c r="D59" s="398"/>
      <c r="E59" s="194" t="s">
        <v>138</v>
      </c>
      <c r="F59" s="23"/>
      <c r="G59" s="256">
        <f>G57*(1-G58)</f>
        <v>9.7261107200000012</v>
      </c>
      <c r="H59" s="151"/>
      <c r="J59" s="212" t="s">
        <v>139</v>
      </c>
      <c r="K59" s="213"/>
      <c r="L59" s="213"/>
      <c r="M59" s="3"/>
      <c r="N59" s="3"/>
      <c r="Q59" s="151"/>
    </row>
    <row r="60" spans="1:24" ht="15" customHeight="1" thickTop="1" thickBot="1">
      <c r="A60" s="150"/>
      <c r="B60" s="201" t="s">
        <v>140</v>
      </c>
      <c r="C60" s="298"/>
      <c r="D60" s="290">
        <f>E8</f>
        <v>14.422033898305086</v>
      </c>
      <c r="E60" s="268" t="s">
        <v>141</v>
      </c>
      <c r="F60" s="269"/>
      <c r="G60" s="272">
        <f>E26</f>
        <v>1</v>
      </c>
      <c r="H60" s="151"/>
      <c r="J60" s="207" t="s">
        <v>58</v>
      </c>
      <c r="K60" s="208" t="s">
        <v>142</v>
      </c>
      <c r="L60" s="208" t="s">
        <v>143</v>
      </c>
      <c r="M60" s="208" t="s">
        <v>144</v>
      </c>
      <c r="N60" s="208" t="s">
        <v>55</v>
      </c>
      <c r="P60" s="483" t="s">
        <v>145</v>
      </c>
      <c r="Q60" s="484"/>
    </row>
    <row r="61" spans="1:24" ht="15" customHeight="1" thickTop="1">
      <c r="A61" s="150"/>
      <c r="B61" s="294" t="s">
        <v>58</v>
      </c>
      <c r="C61" s="296"/>
      <c r="D61" s="441" t="str">
        <f>E15</f>
        <v>Central AC</v>
      </c>
      <c r="E61" s="266" t="s">
        <v>146</v>
      </c>
      <c r="F61" s="10"/>
      <c r="G61" s="271">
        <f>E27</f>
        <v>18</v>
      </c>
      <c r="H61" s="151"/>
      <c r="J61" s="209" t="s">
        <v>16</v>
      </c>
      <c r="K61" s="25">
        <v>14</v>
      </c>
      <c r="L61" s="87">
        <v>13.0828208</v>
      </c>
      <c r="M61" s="353">
        <f>(K61-L61)/K61</f>
        <v>6.5512799999999968E-2</v>
      </c>
      <c r="N61" s="25">
        <v>0.16</v>
      </c>
      <c r="P61" s="408" t="s">
        <v>147</v>
      </c>
      <c r="Q61" s="87">
        <f>E19</f>
        <v>14</v>
      </c>
      <c r="S61" s="3"/>
      <c r="V61" s="3"/>
      <c r="W61" s="3"/>
      <c r="X61" s="3"/>
    </row>
    <row r="62" spans="1:24" ht="15" customHeight="1">
      <c r="A62" s="150"/>
      <c r="B62" s="295" t="s">
        <v>60</v>
      </c>
      <c r="C62" s="297"/>
      <c r="D62" s="24">
        <f>E16</f>
        <v>1</v>
      </c>
      <c r="E62" s="191" t="s">
        <v>137</v>
      </c>
      <c r="F62" s="13"/>
      <c r="G62" s="351">
        <f>P83</f>
        <v>0.10667279999999996</v>
      </c>
      <c r="H62" s="151"/>
      <c r="J62" s="210" t="s">
        <v>59</v>
      </c>
      <c r="K62" s="24">
        <v>10.8</v>
      </c>
      <c r="L62" s="24">
        <v>10.46</v>
      </c>
      <c r="M62" s="354">
        <f>(K62-L62)/K62</f>
        <v>3.1481481481481464E-2</v>
      </c>
      <c r="N62" s="24">
        <v>0</v>
      </c>
      <c r="P62" s="409" t="s">
        <v>144</v>
      </c>
      <c r="Q62" s="410">
        <f>IFERROR(IF(Q61&gt;13.5,((O74)+(O75*Q36)+(O76*Q61)),((N74)+(N75*Q36)+(N76*Q61))),0)</f>
        <v>6.5512799999999982E-2</v>
      </c>
      <c r="X62" s="3"/>
    </row>
    <row r="63" spans="1:24" ht="15" customHeight="1">
      <c r="A63" s="150"/>
      <c r="B63" s="294" t="s">
        <v>63</v>
      </c>
      <c r="C63" s="296"/>
      <c r="D63" s="14">
        <f>sizec</f>
        <v>3</v>
      </c>
      <c r="E63" s="349" t="s">
        <v>148</v>
      </c>
      <c r="F63" s="262"/>
      <c r="G63" s="350">
        <f>G61*(1-G62)</f>
        <v>16.079889600000001</v>
      </c>
      <c r="H63" s="151"/>
      <c r="J63" s="150"/>
      <c r="K63" s="3"/>
      <c r="L63" s="3"/>
      <c r="M63" s="3"/>
      <c r="N63" s="3"/>
      <c r="O63" s="3"/>
      <c r="P63" s="411" t="s">
        <v>148</v>
      </c>
      <c r="Q63" s="86">
        <f>IFERROR(Q61*(1-Q62),0)</f>
        <v>13.0828208</v>
      </c>
      <c r="S63" s="3"/>
      <c r="V63" s="3"/>
      <c r="W63" s="3"/>
      <c r="X63" s="3"/>
    </row>
    <row r="64" spans="1:24" ht="15" customHeight="1">
      <c r="A64" s="150"/>
      <c r="B64" s="295" t="s">
        <v>146</v>
      </c>
      <c r="C64" s="297"/>
      <c r="D64" s="24">
        <f>E19</f>
        <v>14</v>
      </c>
      <c r="E64" s="349" t="s">
        <v>134</v>
      </c>
      <c r="F64" s="3"/>
      <c r="G64" s="401">
        <f>G63/3.412</f>
        <v>4.7127460726846433</v>
      </c>
      <c r="H64" s="151"/>
      <c r="J64" s="150" t="s">
        <v>149</v>
      </c>
      <c r="K64" s="3"/>
      <c r="L64" s="3"/>
      <c r="M64" s="3"/>
      <c r="N64" s="3"/>
      <c r="O64" s="3"/>
      <c r="P64" s="3"/>
      <c r="Q64" s="151"/>
      <c r="V64" s="3"/>
      <c r="W64" s="3"/>
      <c r="X64" s="3"/>
    </row>
    <row r="65" spans="1:24" ht="15" customHeight="1" thickBot="1">
      <c r="A65" s="150"/>
      <c r="B65" s="294" t="s">
        <v>148</v>
      </c>
      <c r="C65" s="296"/>
      <c r="D65" s="277">
        <f>Q63</f>
        <v>13.0828208</v>
      </c>
      <c r="E65" s="273" t="s">
        <v>150</v>
      </c>
      <c r="F65" s="196"/>
      <c r="G65" s="274">
        <f>E25</f>
        <v>1</v>
      </c>
      <c r="H65" s="151"/>
      <c r="J65" s="207" t="s">
        <v>133</v>
      </c>
      <c r="K65" s="11" t="s">
        <v>134</v>
      </c>
      <c r="L65" s="11" t="s">
        <v>136</v>
      </c>
      <c r="M65" s="11" t="s">
        <v>137</v>
      </c>
      <c r="N65" s="11" t="s">
        <v>138</v>
      </c>
      <c r="O65" s="11" t="s">
        <v>146</v>
      </c>
      <c r="P65" s="11" t="s">
        <v>148</v>
      </c>
      <c r="Q65" s="357" t="s">
        <v>144</v>
      </c>
      <c r="V65" s="3"/>
      <c r="W65" s="3"/>
      <c r="X65" s="3"/>
    </row>
    <row r="66" spans="1:24" ht="15" customHeight="1" thickTop="1">
      <c r="A66" s="150"/>
      <c r="B66" s="374" t="s">
        <v>134</v>
      </c>
      <c r="C66" s="3"/>
      <c r="D66" s="284">
        <f>D65/3.412</f>
        <v>3.8343554513481832</v>
      </c>
      <c r="E66" s="168" t="s">
        <v>151</v>
      </c>
      <c r="F66" s="5"/>
      <c r="G66" s="86">
        <f>IF(sizea&gt;=4,0.16,0)</f>
        <v>0.16</v>
      </c>
      <c r="H66" s="151"/>
      <c r="J66" s="209">
        <v>2.4</v>
      </c>
      <c r="K66" s="20">
        <f>N66/3.412</f>
        <v>2.0789278048065653E-2</v>
      </c>
      <c r="L66" s="20">
        <f>J66*3.412</f>
        <v>8.1887999999999987</v>
      </c>
      <c r="M66" s="346">
        <f>8.19/100</f>
        <v>8.1900000000000001E-2</v>
      </c>
      <c r="N66" s="20">
        <f>M66*(1-0.133907)</f>
        <v>7.0933016700000004E-2</v>
      </c>
      <c r="O66" s="19">
        <v>14</v>
      </c>
      <c r="P66" s="83">
        <f>13.0828208</f>
        <v>13.0828208</v>
      </c>
      <c r="Q66" s="83">
        <f>(O66-P66)/O66</f>
        <v>6.5512799999999968E-2</v>
      </c>
      <c r="V66" s="3"/>
      <c r="W66" s="3"/>
      <c r="X66" s="3"/>
    </row>
    <row r="67" spans="1:24" ht="15" customHeight="1">
      <c r="A67" s="150"/>
      <c r="B67" s="295" t="s">
        <v>55</v>
      </c>
      <c r="C67" s="297"/>
      <c r="D67" s="319">
        <f>IFERROR(VLOOKUP(D61,J61:N62,5,FALSE),0)</f>
        <v>0.16</v>
      </c>
      <c r="E67" s="402"/>
      <c r="F67" s="403"/>
      <c r="G67" s="404"/>
      <c r="H67" s="151"/>
      <c r="J67" s="210">
        <v>2.8</v>
      </c>
      <c r="K67" s="82">
        <f>N67/3.412</f>
        <v>2.3202505905627197E-2</v>
      </c>
      <c r="L67" s="80">
        <f>J67*3.412</f>
        <v>9.5535999999999994</v>
      </c>
      <c r="M67" s="347">
        <f>9.55/100</f>
        <v>9.5500000000000002E-2</v>
      </c>
      <c r="N67" s="80">
        <f>M67*(1-0.1710267)</f>
        <v>7.9166950149999998E-2</v>
      </c>
      <c r="O67" s="23">
        <v>16</v>
      </c>
      <c r="P67" s="145">
        <v>14.6225152</v>
      </c>
      <c r="Q67" s="145">
        <f t="shared" ref="Q67:Q68" si="2">(O67-P67)/O67</f>
        <v>8.6092799999999969E-2</v>
      </c>
    </row>
    <row r="68" spans="1:24" ht="15" customHeight="1">
      <c r="A68" s="150"/>
      <c r="B68" s="399" t="s">
        <v>28</v>
      </c>
      <c r="C68" s="5"/>
      <c r="D68" s="400">
        <f>E20</f>
        <v>1</v>
      </c>
      <c r="E68" s="405"/>
      <c r="F68" s="406"/>
      <c r="G68" s="407"/>
      <c r="H68" s="151"/>
      <c r="J68" s="166">
        <v>3.2</v>
      </c>
      <c r="K68" s="22">
        <f>N68/3.412</f>
        <v>2.6308110668229776E-2</v>
      </c>
      <c r="L68" s="21">
        <f>J68*3.412</f>
        <v>10.9184</v>
      </c>
      <c r="M68" s="348">
        <f>10.92/100</f>
        <v>0.10920000000000001</v>
      </c>
      <c r="N68" s="21">
        <f>M68*(1-0.177992)</f>
        <v>8.9763273599999999E-2</v>
      </c>
      <c r="O68" s="5">
        <v>18</v>
      </c>
      <c r="P68" s="84">
        <v>16.079889600000001</v>
      </c>
      <c r="Q68" s="84">
        <f t="shared" si="2"/>
        <v>0.10667279999999993</v>
      </c>
    </row>
    <row r="69" spans="1:24" ht="15" customHeight="1">
      <c r="A69" s="150"/>
      <c r="B69" s="3"/>
      <c r="C69" s="3"/>
      <c r="D69" s="3"/>
      <c r="E69" s="3"/>
      <c r="F69" s="3"/>
      <c r="G69" s="3"/>
      <c r="H69" s="151"/>
      <c r="J69" s="150"/>
      <c r="K69" s="3"/>
      <c r="L69" s="3"/>
      <c r="M69" s="3"/>
      <c r="N69" s="3"/>
      <c r="O69" s="3"/>
      <c r="P69" s="3"/>
      <c r="Q69" s="151"/>
    </row>
    <row r="70" spans="1:24" ht="15" customHeight="1" thickBot="1">
      <c r="A70" s="154"/>
      <c r="B70" s="155"/>
      <c r="C70" s="155"/>
      <c r="D70" s="155"/>
      <c r="E70" s="155"/>
      <c r="F70" s="155"/>
      <c r="G70" s="155"/>
      <c r="H70" s="156"/>
      <c r="J70" s="218" t="s">
        <v>152</v>
      </c>
      <c r="K70" s="213"/>
      <c r="L70" s="213"/>
      <c r="M70" s="213"/>
      <c r="N70" s="213"/>
      <c r="O70" s="213"/>
      <c r="P70" s="3"/>
      <c r="Q70" s="151"/>
    </row>
    <row r="71" spans="1:24" ht="26.25">
      <c r="A71" s="147" t="s">
        <v>153</v>
      </c>
      <c r="B71" s="148"/>
      <c r="C71" s="148"/>
      <c r="D71" s="148"/>
      <c r="E71" s="241"/>
      <c r="F71" s="148"/>
      <c r="G71" s="148"/>
      <c r="H71" s="149"/>
      <c r="J71" s="219" t="s">
        <v>154</v>
      </c>
      <c r="K71" s="76"/>
      <c r="L71" s="76"/>
      <c r="M71" s="76" t="s">
        <v>155</v>
      </c>
      <c r="N71" s="77"/>
      <c r="O71" s="77"/>
      <c r="P71" s="3"/>
      <c r="Q71" s="151"/>
    </row>
    <row r="72" spans="1:24" ht="15" customHeight="1">
      <c r="A72" s="150"/>
      <c r="B72" s="104"/>
      <c r="C72" s="445"/>
      <c r="D72" s="138" t="s">
        <v>156</v>
      </c>
      <c r="E72" s="138" t="s">
        <v>156</v>
      </c>
      <c r="F72" s="138" t="s">
        <v>156</v>
      </c>
      <c r="G72" s="445" t="s">
        <v>157</v>
      </c>
      <c r="H72" s="151"/>
      <c r="J72" s="220" t="s">
        <v>158</v>
      </c>
      <c r="K72" s="74"/>
      <c r="L72" s="75"/>
      <c r="M72" s="73" t="s">
        <v>159</v>
      </c>
      <c r="N72" s="74"/>
      <c r="O72" s="75"/>
      <c r="P72" s="128"/>
      <c r="Q72" s="151"/>
    </row>
    <row r="73" spans="1:24" ht="15" customHeight="1">
      <c r="A73" s="150"/>
      <c r="B73" s="120"/>
      <c r="C73" s="139"/>
      <c r="D73" s="137" t="s">
        <v>160</v>
      </c>
      <c r="E73" s="137" t="s">
        <v>161</v>
      </c>
      <c r="F73" s="137" t="s">
        <v>162</v>
      </c>
      <c r="G73" s="139" t="s">
        <v>163</v>
      </c>
      <c r="H73" s="151"/>
      <c r="J73" s="221" t="s">
        <v>164</v>
      </c>
      <c r="K73" s="56" t="s">
        <v>165</v>
      </c>
      <c r="L73" s="56" t="s">
        <v>166</v>
      </c>
      <c r="M73" s="56" t="s">
        <v>164</v>
      </c>
      <c r="N73" s="56" t="s">
        <v>167</v>
      </c>
      <c r="O73" s="56" t="s">
        <v>168</v>
      </c>
      <c r="P73" s="128"/>
      <c r="Q73" s="151"/>
    </row>
    <row r="74" spans="1:24" ht="15" customHeight="1">
      <c r="A74" s="150"/>
      <c r="B74" s="12" t="s">
        <v>169</v>
      </c>
      <c r="C74" s="242"/>
      <c r="D74" s="242" t="str">
        <f>IF(D55=J57,F74/$C$41,"")</f>
        <v/>
      </c>
      <c r="E74" s="129">
        <f>IF(D55&lt;&gt;J57,F74/C35,"")</f>
        <v>1082.8023106603075</v>
      </c>
      <c r="F74" s="370">
        <f>(G74/D56)*(1/(1-D58))</f>
        <v>108.28023106603075</v>
      </c>
      <c r="G74" s="371">
        <f>D54</f>
        <v>75.49297709923664</v>
      </c>
      <c r="H74" s="372"/>
      <c r="J74" s="222" t="s">
        <v>170</v>
      </c>
      <c r="K74" s="57">
        <v>0.13919999999999999</v>
      </c>
      <c r="L74" s="57">
        <v>0.1041</v>
      </c>
      <c r="M74" s="57" t="s">
        <v>170</v>
      </c>
      <c r="N74" s="57">
        <v>-0.5655</v>
      </c>
      <c r="O74" s="57">
        <v>-0.58640000000000003</v>
      </c>
      <c r="P74" s="3"/>
      <c r="Q74" s="151"/>
      <c r="R74" s="3"/>
    </row>
    <row r="75" spans="1:24" ht="15" customHeight="1">
      <c r="A75" s="150"/>
      <c r="B75" s="37" t="s">
        <v>171</v>
      </c>
      <c r="C75" s="131"/>
      <c r="D75" s="131">
        <f>IFERROR(F75/C41,0)</f>
        <v>1312.2845439431114</v>
      </c>
      <c r="E75" s="254"/>
      <c r="F75" s="131">
        <f>IFERROR((G75/D66)*(1/(1-D67)),0)</f>
        <v>4.4776985837700476</v>
      </c>
      <c r="G75" s="134">
        <f>D60*D68</f>
        <v>14.422033898305086</v>
      </c>
      <c r="H75" s="151"/>
      <c r="J75" s="222" t="s">
        <v>172</v>
      </c>
      <c r="K75" s="57">
        <v>-8.4600000000000005E-3</v>
      </c>
      <c r="L75" s="57">
        <v>-8.8620000000000001E-3</v>
      </c>
      <c r="M75" s="57" t="s">
        <v>172</v>
      </c>
      <c r="N75" s="57">
        <v>5.4140000000000004E-3</v>
      </c>
      <c r="O75" s="57">
        <v>5.6680000000000003E-3</v>
      </c>
      <c r="P75" s="3"/>
      <c r="Q75" s="151"/>
      <c r="R75" s="3"/>
    </row>
    <row r="76" spans="1:24" ht="15" customHeight="1">
      <c r="A76" s="150"/>
      <c r="H76" s="151"/>
      <c r="J76" s="222" t="s">
        <v>173</v>
      </c>
      <c r="K76" s="57">
        <v>-1.0739999999999999E-4</v>
      </c>
      <c r="L76" s="57">
        <v>-1.153E-4</v>
      </c>
      <c r="M76" s="57" t="s">
        <v>173</v>
      </c>
      <c r="N76" s="57">
        <v>1.039E-2</v>
      </c>
      <c r="O76" s="57">
        <v>1.0290000000000001E-2</v>
      </c>
      <c r="P76" s="3"/>
      <c r="Q76" s="151"/>
    </row>
    <row r="77" spans="1:24" ht="15" customHeight="1">
      <c r="A77" s="150"/>
      <c r="B77" s="12" t="s">
        <v>174</v>
      </c>
      <c r="C77" s="252"/>
      <c r="D77" s="42">
        <f>F77/$C$41</f>
        <v>9239.9631160181889</v>
      </c>
      <c r="E77" s="254"/>
      <c r="F77" s="225">
        <f>(G77/$G$56)*(1/(1-$G$66))</f>
        <v>31.528047746690302</v>
      </c>
      <c r="G77" s="225">
        <f>G74*G60</f>
        <v>75.49297709923664</v>
      </c>
      <c r="H77" s="151"/>
      <c r="J77" s="222" t="s">
        <v>175</v>
      </c>
      <c r="K77" s="57">
        <v>2.2800000000000001E-2</v>
      </c>
      <c r="L77" s="57">
        <v>2.8170000000000001E-2</v>
      </c>
      <c r="M77" s="57" t="s">
        <v>176</v>
      </c>
      <c r="N77" s="57">
        <v>0.96240000000000003</v>
      </c>
      <c r="O77" s="57">
        <v>0.96540000000000004</v>
      </c>
      <c r="P77" s="3"/>
      <c r="Q77" s="151"/>
    </row>
    <row r="78" spans="1:24" ht="15" customHeight="1">
      <c r="A78" s="150"/>
      <c r="B78" s="12" t="s">
        <v>177</v>
      </c>
      <c r="C78" s="252"/>
      <c r="D78" s="42">
        <f>F78/$C$41</f>
        <v>896.86201344906362</v>
      </c>
      <c r="E78" s="254"/>
      <c r="F78" s="42">
        <f>G78/G64</f>
        <v>3.0602187505700877</v>
      </c>
      <c r="G78" s="376">
        <f>E8*G65</f>
        <v>14.422033898305086</v>
      </c>
      <c r="H78" s="151"/>
      <c r="J78" s="222" t="s">
        <v>176</v>
      </c>
      <c r="K78" s="57">
        <v>0.96489999999999998</v>
      </c>
      <c r="L78" s="57">
        <v>0.96479999999999999</v>
      </c>
      <c r="M78" s="78" t="s">
        <v>178</v>
      </c>
      <c r="N78" s="13"/>
      <c r="O78" s="14"/>
      <c r="P78" s="3"/>
      <c r="Q78" s="151"/>
    </row>
    <row r="79" spans="1:24" ht="15" customHeight="1">
      <c r="A79" s="150"/>
      <c r="B79" s="12" t="s">
        <v>179</v>
      </c>
      <c r="C79" s="242"/>
      <c r="D79" s="263" t="str">
        <f>IF(D55=J57,(F79/C41),"")</f>
        <v/>
      </c>
      <c r="E79" s="255">
        <f>IF(D55&lt;&gt;J57,F79/C35,"")</f>
        <v>0</v>
      </c>
      <c r="F79" s="255">
        <f>G79/D56*(1/(1-D58))</f>
        <v>0</v>
      </c>
      <c r="G79" s="376">
        <f>IF(G74&gt;G77,G74-G77,0)</f>
        <v>0</v>
      </c>
      <c r="H79" s="151"/>
      <c r="J79" s="150"/>
      <c r="K79" s="3"/>
      <c r="L79" s="3"/>
      <c r="M79" s="3"/>
      <c r="N79" s="3"/>
      <c r="O79" s="3"/>
      <c r="P79" s="3"/>
      <c r="Q79" s="151"/>
    </row>
    <row r="80" spans="1:24" ht="15" customHeight="1" thickBot="1">
      <c r="A80" s="150"/>
      <c r="B80" s="253" t="s">
        <v>180</v>
      </c>
      <c r="C80" s="14"/>
      <c r="D80" s="42">
        <f>F80/$C$41</f>
        <v>0</v>
      </c>
      <c r="E80" s="254"/>
      <c r="F80" s="376">
        <f>(G80/$G$56)*(1/(1-$D$67))</f>
        <v>0</v>
      </c>
      <c r="G80" s="376">
        <f>IF(G75&gt;G78,G75-G78,0)</f>
        <v>0</v>
      </c>
      <c r="H80" s="151"/>
      <c r="J80" s="218" t="s">
        <v>181</v>
      </c>
      <c r="K80" s="223"/>
      <c r="L80" s="3"/>
      <c r="M80" s="3"/>
      <c r="N80" s="3"/>
      <c r="O80" s="3"/>
      <c r="P80" s="3"/>
      <c r="Q80" s="151"/>
    </row>
    <row r="81" spans="1:18" ht="15" customHeight="1">
      <c r="A81" s="150"/>
      <c r="B81" s="3"/>
      <c r="C81" s="3"/>
      <c r="E81" s="377"/>
      <c r="H81" s="151"/>
      <c r="J81" s="207" t="s">
        <v>182</v>
      </c>
      <c r="K81" s="79"/>
      <c r="L81" s="3"/>
      <c r="M81" s="11"/>
      <c r="N81" s="79" t="s">
        <v>71</v>
      </c>
      <c r="O81" s="79" t="s">
        <v>183</v>
      </c>
      <c r="P81" s="11" t="s">
        <v>65</v>
      </c>
      <c r="Q81" s="151"/>
    </row>
    <row r="82" spans="1:18" ht="15" customHeight="1">
      <c r="A82" s="150"/>
      <c r="B82" s="239"/>
      <c r="C82" s="3"/>
      <c r="D82" s="3"/>
      <c r="E82" s="3"/>
      <c r="F82" s="3"/>
      <c r="G82" s="345"/>
      <c r="H82" s="151"/>
      <c r="J82" s="224" t="s">
        <v>170</v>
      </c>
      <c r="K82" s="43">
        <v>1.1200000000000001</v>
      </c>
      <c r="L82" s="3"/>
      <c r="M82" s="18" t="s">
        <v>142</v>
      </c>
      <c r="N82" s="19">
        <f>E24</f>
        <v>10.9184</v>
      </c>
      <c r="O82" s="83">
        <f>N82*C33/1000</f>
        <v>37.255109376</v>
      </c>
      <c r="P82" s="87">
        <f>E27</f>
        <v>18</v>
      </c>
      <c r="Q82" s="151"/>
    </row>
    <row r="83" spans="1:18" ht="15" customHeight="1">
      <c r="A83" s="150"/>
      <c r="B83" s="239"/>
      <c r="C83" s="3"/>
      <c r="D83" s="3"/>
      <c r="E83" s="3"/>
      <c r="F83" s="3"/>
      <c r="G83" s="3"/>
      <c r="H83" s="151"/>
      <c r="J83" s="224" t="s">
        <v>172</v>
      </c>
      <c r="K83" s="43">
        <v>1.2544</v>
      </c>
      <c r="L83" s="3"/>
      <c r="M83" s="26" t="s">
        <v>144</v>
      </c>
      <c r="N83" s="80"/>
      <c r="O83" s="81">
        <f>IF(O82&lt;8.5,K74+(K75*Q37)+(K76*Q37^2)+(K77*O82),L74+(L75*Q37)+(L76*Q37^2)+(L77*O82))</f>
        <v>0.95147966312192001</v>
      </c>
      <c r="P83" s="85">
        <f>IF(P82&lt;13.5,N74+(N75*Q36)+(N76*P82),O74+(O75*Q36)+(O76*P82))</f>
        <v>0.10667279999999996</v>
      </c>
      <c r="Q83" s="151"/>
    </row>
    <row r="84" spans="1:18" ht="15" customHeight="1">
      <c r="A84" s="150"/>
      <c r="B84" s="3"/>
      <c r="C84" s="3"/>
      <c r="D84" s="3"/>
      <c r="E84" s="3"/>
      <c r="F84" s="3"/>
      <c r="G84" s="3"/>
      <c r="H84" s="151"/>
      <c r="J84" s="224" t="s">
        <v>173</v>
      </c>
      <c r="K84" s="43">
        <v>0.08</v>
      </c>
      <c r="L84" s="3"/>
      <c r="M84" s="4" t="s">
        <v>143</v>
      </c>
      <c r="N84" s="21"/>
      <c r="O84" s="84">
        <f>O82*(1-O83)</f>
        <v>1.8076304573532367</v>
      </c>
      <c r="P84" s="86">
        <f>P82*(1-P83)</f>
        <v>16.079889600000001</v>
      </c>
      <c r="Q84" s="151"/>
    </row>
    <row r="85" spans="1:18" ht="15" customHeight="1">
      <c r="A85" s="150"/>
      <c r="B85" s="3"/>
      <c r="C85" s="3"/>
      <c r="D85" s="3"/>
      <c r="E85" s="3"/>
      <c r="F85" s="3"/>
      <c r="G85" s="3"/>
      <c r="H85" s="151"/>
      <c r="J85" s="224" t="s">
        <v>175</v>
      </c>
      <c r="K85" s="44">
        <v>0.04</v>
      </c>
      <c r="L85" s="3"/>
      <c r="M85" s="3"/>
      <c r="N85" s="3"/>
      <c r="O85" s="3"/>
      <c r="P85" s="3"/>
      <c r="Q85" s="151"/>
    </row>
    <row r="86" spans="1:18" ht="15" customHeight="1">
      <c r="A86" s="150"/>
      <c r="B86" s="3"/>
      <c r="C86" s="3"/>
      <c r="D86" s="3"/>
      <c r="E86" s="3"/>
      <c r="F86" s="3"/>
      <c r="G86" s="3"/>
      <c r="H86" s="151"/>
      <c r="J86" s="150"/>
      <c r="K86" s="3"/>
      <c r="L86" s="3"/>
      <c r="M86" s="3"/>
      <c r="N86" s="3"/>
      <c r="O86" s="3"/>
      <c r="P86" s="3"/>
      <c r="Q86" s="151"/>
    </row>
    <row r="87" spans="1:18" ht="15" customHeight="1">
      <c r="A87" s="150"/>
      <c r="C87" s="3"/>
      <c r="D87" s="3"/>
      <c r="E87" s="3"/>
      <c r="F87" s="3"/>
      <c r="H87" s="151"/>
      <c r="J87" s="150"/>
      <c r="K87" s="3"/>
      <c r="L87" s="3"/>
      <c r="M87" s="3"/>
      <c r="N87" s="3"/>
      <c r="O87" s="3"/>
      <c r="P87" s="3"/>
      <c r="Q87" s="151"/>
    </row>
    <row r="88" spans="1:18" ht="15" customHeight="1">
      <c r="A88" s="150"/>
      <c r="B88" s="3"/>
      <c r="C88" s="3"/>
      <c r="D88" s="3"/>
      <c r="E88" s="3"/>
      <c r="F88" s="3"/>
      <c r="G88" s="3"/>
      <c r="H88" s="151"/>
      <c r="J88" s="150"/>
      <c r="K88" s="3"/>
      <c r="L88" s="3"/>
      <c r="M88" s="3"/>
      <c r="N88" s="3"/>
      <c r="O88" s="3"/>
      <c r="P88" s="3"/>
      <c r="Q88" s="151"/>
    </row>
    <row r="89" spans="1:18" ht="15" customHeight="1" thickBot="1">
      <c r="A89" s="154"/>
      <c r="B89" s="155"/>
      <c r="C89" s="155"/>
      <c r="D89" s="155"/>
      <c r="E89" s="155"/>
      <c r="F89" s="155"/>
      <c r="G89" s="155"/>
      <c r="H89" s="156"/>
      <c r="J89" s="180"/>
      <c r="K89" s="182"/>
      <c r="L89" s="182"/>
      <c r="M89" s="182"/>
      <c r="N89" s="182"/>
      <c r="O89" s="182"/>
      <c r="P89" s="182"/>
      <c r="Q89" s="181"/>
    </row>
    <row r="90" spans="1:18" ht="26.25">
      <c r="A90" s="147" t="s">
        <v>184</v>
      </c>
      <c r="B90" s="148"/>
      <c r="C90" s="148"/>
      <c r="D90" s="148"/>
      <c r="E90" s="148"/>
      <c r="F90" s="148"/>
      <c r="G90" s="148"/>
      <c r="H90" s="149"/>
      <c r="J90" s="147" t="s">
        <v>185</v>
      </c>
      <c r="K90" s="148"/>
      <c r="L90" s="148"/>
      <c r="M90" s="148"/>
      <c r="N90" s="148"/>
      <c r="O90" s="148"/>
      <c r="P90" s="148"/>
      <c r="Q90" s="149"/>
      <c r="R90" s="150"/>
    </row>
    <row r="91" spans="1:18" ht="15" customHeight="1">
      <c r="A91" s="150"/>
      <c r="B91" s="104" t="s">
        <v>186</v>
      </c>
      <c r="C91" s="445"/>
      <c r="D91" s="138" t="s">
        <v>156</v>
      </c>
      <c r="E91" s="138" t="s">
        <v>156</v>
      </c>
      <c r="F91" s="138" t="s">
        <v>156</v>
      </c>
      <c r="G91" s="3"/>
      <c r="H91" s="151"/>
      <c r="J91" s="230" t="s">
        <v>187</v>
      </c>
      <c r="K91" s="3"/>
      <c r="L91" s="3"/>
      <c r="M91" s="151"/>
      <c r="N91" s="118" t="s">
        <v>188</v>
      </c>
      <c r="O91" s="3"/>
      <c r="P91" s="3"/>
      <c r="Q91" s="151"/>
      <c r="R91" s="150"/>
    </row>
    <row r="92" spans="1:18" ht="15" customHeight="1">
      <c r="A92" s="150"/>
      <c r="B92" s="120" t="s">
        <v>189</v>
      </c>
      <c r="C92" s="139"/>
      <c r="D92" s="137" t="s">
        <v>160</v>
      </c>
      <c r="E92" s="137" t="s">
        <v>161</v>
      </c>
      <c r="F92" s="137" t="s">
        <v>162</v>
      </c>
      <c r="G92" s="3"/>
      <c r="H92" s="151"/>
      <c r="J92" s="231" t="s">
        <v>190</v>
      </c>
      <c r="K92" s="119"/>
      <c r="L92" s="119"/>
      <c r="M92" s="315"/>
      <c r="N92" s="317" t="s">
        <v>191</v>
      </c>
      <c r="O92" s="119"/>
      <c r="P92" s="318"/>
      <c r="Q92" s="151"/>
      <c r="R92" s="150"/>
    </row>
    <row r="93" spans="1:18" ht="15" customHeight="1">
      <c r="A93" s="150"/>
      <c r="B93" s="12" t="s">
        <v>169</v>
      </c>
      <c r="C93" s="242"/>
      <c r="D93" s="242" t="str">
        <f>IFERROR(D74,0)</f>
        <v/>
      </c>
      <c r="E93" s="129">
        <f>IF(D55&lt;&gt;J57,E74)</f>
        <v>1082.8023106603075</v>
      </c>
      <c r="F93" s="129">
        <f>F74</f>
        <v>108.28023106603075</v>
      </c>
      <c r="G93" s="3"/>
      <c r="H93" s="151"/>
      <c r="J93" s="232" t="s">
        <v>192</v>
      </c>
      <c r="K93" s="109"/>
      <c r="L93" s="116"/>
      <c r="M93" s="116"/>
      <c r="N93" s="18" t="s">
        <v>193</v>
      </c>
      <c r="O93" s="19"/>
      <c r="P93" s="135">
        <v>10.119999999999999</v>
      </c>
      <c r="Q93" s="151"/>
      <c r="R93" s="150"/>
    </row>
    <row r="94" spans="1:18" ht="15" customHeight="1">
      <c r="A94" s="150"/>
      <c r="B94" s="37" t="s">
        <v>171</v>
      </c>
      <c r="C94" s="131"/>
      <c r="D94" s="131">
        <f>D75</f>
        <v>1312.2845439431114</v>
      </c>
      <c r="E94" s="254"/>
      <c r="F94" s="131">
        <f>F75</f>
        <v>4.4776985837700476</v>
      </c>
      <c r="G94" s="3"/>
      <c r="H94" s="151"/>
      <c r="J94" s="166" t="s">
        <v>194</v>
      </c>
      <c r="K94" s="5"/>
      <c r="L94" s="105">
        <v>15.76</v>
      </c>
      <c r="M94" s="316" t="s">
        <v>195</v>
      </c>
      <c r="N94" s="26" t="s">
        <v>196</v>
      </c>
      <c r="O94" s="23"/>
      <c r="P94" s="141">
        <v>9.09</v>
      </c>
      <c r="Q94" s="151"/>
      <c r="R94" s="150"/>
    </row>
    <row r="95" spans="1:18" ht="15" customHeight="1">
      <c r="A95" s="150"/>
      <c r="B95" s="143"/>
      <c r="C95" s="303" t="s">
        <v>197</v>
      </c>
      <c r="D95" s="304">
        <f>SUM(D93:D94)</f>
        <v>1312.2845439431114</v>
      </c>
      <c r="E95" s="304">
        <f t="shared" ref="E95:F95" si="3">SUM(E93:E94)</f>
        <v>1082.8023106603075</v>
      </c>
      <c r="F95" s="305">
        <f t="shared" si="3"/>
        <v>112.7579296498008</v>
      </c>
      <c r="G95" s="3"/>
      <c r="H95" s="151"/>
      <c r="J95" s="234" t="s">
        <v>198</v>
      </c>
      <c r="K95" s="110"/>
      <c r="L95" s="112"/>
      <c r="M95" s="116"/>
      <c r="N95" s="16" t="s">
        <v>199</v>
      </c>
      <c r="O95" s="5"/>
      <c r="P95" s="106">
        <v>0.94779999999999998</v>
      </c>
      <c r="Q95" s="151"/>
      <c r="R95" s="150"/>
    </row>
    <row r="96" spans="1:18" ht="15" customHeight="1">
      <c r="A96" s="150"/>
      <c r="B96" s="12" t="s">
        <v>174</v>
      </c>
      <c r="C96" s="252"/>
      <c r="D96" s="42">
        <f>D77</f>
        <v>9239.9631160181889</v>
      </c>
      <c r="E96" s="254"/>
      <c r="F96" s="225">
        <f>F77</f>
        <v>31.528047746690302</v>
      </c>
      <c r="G96" s="3"/>
      <c r="H96" s="151"/>
      <c r="J96" s="150" t="s">
        <v>200</v>
      </c>
      <c r="K96" s="3"/>
      <c r="L96" s="115"/>
      <c r="M96" s="115"/>
      <c r="N96" s="26" t="s">
        <v>201</v>
      </c>
      <c r="O96" s="23"/>
      <c r="P96" s="319">
        <f>SUM(P94:P95)/P93</f>
        <v>0.99187747035573137</v>
      </c>
      <c r="Q96" s="151"/>
      <c r="R96" s="150"/>
    </row>
    <row r="97" spans="1:18" ht="15" customHeight="1">
      <c r="A97" s="150"/>
      <c r="B97" s="12" t="s">
        <v>177</v>
      </c>
      <c r="C97" s="252"/>
      <c r="D97" s="42">
        <f>D78</f>
        <v>896.86201344906362</v>
      </c>
      <c r="E97" s="254"/>
      <c r="F97" s="42">
        <f>F78</f>
        <v>3.0602187505700877</v>
      </c>
      <c r="G97" s="3"/>
      <c r="H97" s="151"/>
      <c r="J97" s="236" t="s">
        <v>202</v>
      </c>
      <c r="K97" s="5"/>
      <c r="L97" s="105">
        <v>0.10817</v>
      </c>
      <c r="M97" s="106" t="s">
        <v>203</v>
      </c>
      <c r="Q97" s="151"/>
      <c r="R97" s="150"/>
    </row>
    <row r="98" spans="1:18" ht="15" customHeight="1">
      <c r="A98" s="150"/>
      <c r="B98" s="43" t="s">
        <v>179</v>
      </c>
      <c r="C98" s="263"/>
      <c r="D98" s="263">
        <f>IF(D55=J57,D79,0)</f>
        <v>0</v>
      </c>
      <c r="E98" s="255">
        <f>IF(D55&lt;&gt;J57,E79,"")</f>
        <v>0</v>
      </c>
      <c r="F98" s="255">
        <f>F79</f>
        <v>0</v>
      </c>
      <c r="G98" s="3"/>
      <c r="H98" s="151"/>
      <c r="J98" s="236" t="s">
        <v>204</v>
      </c>
      <c r="K98" s="17"/>
      <c r="L98" s="113">
        <v>0.12434000000000001</v>
      </c>
      <c r="M98" s="114" t="s">
        <v>203</v>
      </c>
      <c r="N98" s="3"/>
      <c r="O98" s="3"/>
      <c r="P98" s="3"/>
      <c r="Q98" s="151"/>
      <c r="R98" s="150"/>
    </row>
    <row r="99" spans="1:18" ht="15" customHeight="1">
      <c r="A99" s="150"/>
      <c r="B99" s="44" t="s">
        <v>180</v>
      </c>
      <c r="C99" s="43"/>
      <c r="D99" s="376">
        <f>D80</f>
        <v>0</v>
      </c>
      <c r="E99" s="254"/>
      <c r="F99" s="376">
        <f>F80</f>
        <v>0</v>
      </c>
      <c r="G99" s="3"/>
      <c r="H99" s="151"/>
      <c r="J99" s="150" t="s">
        <v>205</v>
      </c>
      <c r="K99" s="3"/>
      <c r="L99" s="117"/>
      <c r="M99" s="107"/>
      <c r="N99" s="12" t="s">
        <v>206</v>
      </c>
      <c r="O99" s="13"/>
      <c r="P99" s="114">
        <f>L100*(1+P96)</f>
        <v>0.21546138596837947</v>
      </c>
      <c r="Q99" s="151"/>
      <c r="R99" s="150"/>
    </row>
    <row r="100" spans="1:18" ht="15" customHeight="1">
      <c r="A100" s="150"/>
      <c r="B100" s="143"/>
      <c r="C100" s="303" t="s">
        <v>207</v>
      </c>
      <c r="D100" s="304">
        <f>SUM(D96:D99)</f>
        <v>10136.825129467252</v>
      </c>
      <c r="E100" s="304">
        <f>SUM(E96:E99)</f>
        <v>0</v>
      </c>
      <c r="F100" s="305">
        <f>SUM(F96:F99)</f>
        <v>34.588266497260392</v>
      </c>
      <c r="G100" s="3"/>
      <c r="H100" s="151"/>
      <c r="J100" s="237" t="s">
        <v>208</v>
      </c>
      <c r="K100" s="5"/>
      <c r="L100" s="105">
        <v>0.10817</v>
      </c>
      <c r="M100" s="106" t="s">
        <v>203</v>
      </c>
      <c r="N100" s="3"/>
      <c r="O100" s="3"/>
      <c r="P100" s="3"/>
      <c r="Q100" s="151"/>
      <c r="R100" s="150"/>
    </row>
    <row r="101" spans="1:18" ht="15" customHeight="1">
      <c r="A101" s="150"/>
      <c r="B101" s="3"/>
      <c r="C101" s="3"/>
      <c r="D101" s="3"/>
      <c r="E101" s="3"/>
      <c r="F101" s="3"/>
      <c r="G101" s="3"/>
      <c r="H101" s="151"/>
      <c r="J101" s="234" t="s">
        <v>209</v>
      </c>
      <c r="K101" s="110"/>
      <c r="L101" s="116"/>
      <c r="M101" s="111"/>
      <c r="N101" s="3"/>
      <c r="O101" s="3"/>
      <c r="P101" s="3"/>
      <c r="Q101" s="151"/>
      <c r="R101" s="150"/>
    </row>
    <row r="102" spans="1:18" ht="15" customHeight="1">
      <c r="A102" s="150"/>
      <c r="B102" s="104" t="s">
        <v>21</v>
      </c>
      <c r="C102" s="445"/>
      <c r="D102" s="138" t="s">
        <v>210</v>
      </c>
      <c r="E102" s="138" t="s">
        <v>211</v>
      </c>
      <c r="F102" s="138" t="s">
        <v>212</v>
      </c>
      <c r="G102" s="3"/>
      <c r="H102" s="151"/>
      <c r="J102" s="166" t="s">
        <v>213</v>
      </c>
      <c r="K102" s="5"/>
      <c r="L102" s="5"/>
      <c r="M102" s="6"/>
      <c r="N102" s="3"/>
      <c r="O102" s="3"/>
      <c r="P102" s="3"/>
      <c r="Q102" s="151"/>
      <c r="R102" s="150"/>
    </row>
    <row r="103" spans="1:18" ht="15" customHeight="1">
      <c r="A103" s="150"/>
      <c r="B103" s="120" t="s">
        <v>189</v>
      </c>
      <c r="C103" s="139"/>
      <c r="D103" s="137" t="s">
        <v>214</v>
      </c>
      <c r="E103" s="137" t="s">
        <v>214</v>
      </c>
      <c r="F103" s="137" t="s">
        <v>214</v>
      </c>
      <c r="G103" s="3"/>
      <c r="H103" s="151"/>
      <c r="J103" s="150"/>
      <c r="K103" s="3"/>
      <c r="L103" s="3"/>
      <c r="M103" s="3"/>
      <c r="N103" s="3"/>
      <c r="O103" s="3"/>
      <c r="P103" s="3"/>
      <c r="Q103" s="151"/>
      <c r="R103" s="150"/>
    </row>
    <row r="104" spans="1:18" ht="15" customHeight="1">
      <c r="A104" s="150"/>
      <c r="B104" s="12" t="s">
        <v>169</v>
      </c>
      <c r="C104" s="242"/>
      <c r="D104" s="306">
        <f>IF(D93&lt;&gt;"",D93*$P$99,0)</f>
        <v>0</v>
      </c>
      <c r="E104" s="114">
        <f>_xlfn.IFS(E12=J55,L112,E12=J56,L121,E12=J57,0)</f>
        <v>2602.0520625025742</v>
      </c>
      <c r="F104" s="311">
        <f t="shared" ref="F104:F111" si="4">SUM(D104:E104)</f>
        <v>2602.0520625025742</v>
      </c>
      <c r="G104" s="3"/>
      <c r="H104" s="151"/>
      <c r="J104" s="278" t="s">
        <v>215</v>
      </c>
      <c r="K104" s="3"/>
      <c r="L104" s="5"/>
      <c r="M104" s="3"/>
      <c r="N104" s="118" t="s">
        <v>216</v>
      </c>
      <c r="O104" s="3"/>
      <c r="P104" s="3"/>
      <c r="Q104" s="151"/>
      <c r="R104" s="150"/>
    </row>
    <row r="105" spans="1:18" ht="15" customHeight="1" thickBot="1">
      <c r="A105" s="150"/>
      <c r="B105" s="431" t="s">
        <v>171</v>
      </c>
      <c r="C105" s="432"/>
      <c r="D105" s="433">
        <f>IF(D94&gt;250,(250*$P$99+(D94-250)*$P$99),D94*P99)</f>
        <v>282.74664662286557</v>
      </c>
      <c r="E105" s="434"/>
      <c r="F105" s="430">
        <f t="shared" si="4"/>
        <v>282.74664662286557</v>
      </c>
      <c r="G105" s="3"/>
      <c r="H105" s="151"/>
      <c r="J105" s="250" t="s">
        <v>217</v>
      </c>
      <c r="K105" s="102"/>
      <c r="L105" s="102"/>
      <c r="M105" s="103"/>
      <c r="N105" s="104" t="s">
        <v>46</v>
      </c>
      <c r="O105" s="102"/>
      <c r="P105" s="102"/>
      <c r="Q105" s="229"/>
      <c r="R105" s="150"/>
    </row>
    <row r="106" spans="1:18" ht="15" customHeight="1" thickBot="1">
      <c r="A106" s="150"/>
      <c r="B106" s="323"/>
      <c r="C106" s="324" t="s">
        <v>197</v>
      </c>
      <c r="D106" s="325">
        <f>SUM(D104:D105)</f>
        <v>282.74664662286557</v>
      </c>
      <c r="E106" s="326">
        <f>SUM(E104:E105)</f>
        <v>2602.0520625025742</v>
      </c>
      <c r="F106" s="327">
        <f t="shared" si="4"/>
        <v>2884.7987091254399</v>
      </c>
      <c r="G106" s="3"/>
      <c r="H106" s="151"/>
      <c r="J106" s="150" t="s">
        <v>218</v>
      </c>
      <c r="K106" s="3"/>
      <c r="L106" s="291" t="str">
        <f>IF(E12="Natural Gas",E74,"")</f>
        <v/>
      </c>
      <c r="M106" s="284" t="str">
        <f>IF(E12="Natural Gas",E79,"")</f>
        <v/>
      </c>
      <c r="N106" s="2">
        <v>3</v>
      </c>
      <c r="O106" s="3" t="s">
        <v>161</v>
      </c>
      <c r="P106" s="115">
        <v>20.399999999999999</v>
      </c>
      <c r="Q106" s="151" t="s">
        <v>195</v>
      </c>
      <c r="R106" s="150"/>
    </row>
    <row r="107" spans="1:18" ht="15" customHeight="1">
      <c r="A107" s="150"/>
      <c r="B107" s="4" t="s">
        <v>174</v>
      </c>
      <c r="C107" s="133"/>
      <c r="D107" s="321">
        <f>D96*$P$99</f>
        <v>1990.8552592739852</v>
      </c>
      <c r="E107" s="320"/>
      <c r="F107" s="322">
        <f t="shared" si="4"/>
        <v>1990.8552592739852</v>
      </c>
      <c r="G107" s="3"/>
      <c r="H107" s="151"/>
      <c r="J107" s="279" t="s">
        <v>219</v>
      </c>
      <c r="K107" s="121"/>
      <c r="L107" s="292" t="s">
        <v>220</v>
      </c>
      <c r="M107" s="293" t="s">
        <v>221</v>
      </c>
      <c r="N107" s="108">
        <v>87</v>
      </c>
      <c r="O107" s="121" t="s">
        <v>161</v>
      </c>
      <c r="P107" s="123">
        <v>0.93920000000000003</v>
      </c>
      <c r="Q107" s="233" t="s">
        <v>222</v>
      </c>
      <c r="R107" s="150"/>
    </row>
    <row r="108" spans="1:18" ht="15" customHeight="1">
      <c r="A108" s="150"/>
      <c r="B108" s="26" t="s">
        <v>177</v>
      </c>
      <c r="C108" s="435"/>
      <c r="D108" s="436">
        <f>D97*$P$99</f>
        <v>193.23913244012664</v>
      </c>
      <c r="E108" s="437"/>
      <c r="F108" s="311">
        <f t="shared" si="4"/>
        <v>193.23913244012664</v>
      </c>
      <c r="G108" s="3"/>
      <c r="H108" s="151"/>
      <c r="J108" s="150">
        <v>3</v>
      </c>
      <c r="K108" s="140"/>
      <c r="L108" s="286">
        <f>IF(L106&gt;=J108,P106*12,0)</f>
        <v>244.79999999999998</v>
      </c>
      <c r="M108" s="286">
        <f>IF(M106&gt;=J108,P106*12,0)</f>
        <v>244.79999999999998</v>
      </c>
      <c r="N108" s="2">
        <v>2910</v>
      </c>
      <c r="O108" s="3" t="s">
        <v>161</v>
      </c>
      <c r="P108" s="115">
        <v>0.71440000000000003</v>
      </c>
      <c r="Q108" s="151" t="s">
        <v>222</v>
      </c>
      <c r="R108" s="150"/>
    </row>
    <row r="109" spans="1:18" ht="15" customHeight="1">
      <c r="A109" s="150"/>
      <c r="B109" s="43" t="s">
        <v>179</v>
      </c>
      <c r="C109" s="263"/>
      <c r="D109" s="321">
        <f>D98*$P$99</f>
        <v>0</v>
      </c>
      <c r="E109" s="307">
        <f>_xlfn.IFS(D55=J55,M112,D55=J56,M121,D55=J57,0)</f>
        <v>0</v>
      </c>
      <c r="F109" s="311">
        <f t="shared" si="4"/>
        <v>0</v>
      </c>
      <c r="G109" s="3"/>
      <c r="H109" s="151"/>
      <c r="J109" s="251">
        <v>87</v>
      </c>
      <c r="K109" s="121"/>
      <c r="L109" s="136">
        <f>IF(L106&gt;=(J108+J109),J109*P107,(L106-J108)*P107)</f>
        <v>81.710400000000007</v>
      </c>
      <c r="M109" s="136">
        <f>IF(M106&gt;0,IF(M106&gt;=(J108+J109),J109*P107,(M106-J108)*P107),0)</f>
        <v>81.710400000000007</v>
      </c>
      <c r="N109" s="122" t="s">
        <v>223</v>
      </c>
      <c r="O109" s="10" t="s">
        <v>161</v>
      </c>
      <c r="P109" s="124">
        <v>0.54990000000000006</v>
      </c>
      <c r="Q109" s="235" t="s">
        <v>222</v>
      </c>
      <c r="R109" s="150"/>
    </row>
    <row r="110" spans="1:18" ht="15" customHeight="1" thickBot="1">
      <c r="A110" s="150"/>
      <c r="B110" s="438" t="s">
        <v>180</v>
      </c>
      <c r="C110" s="438"/>
      <c r="D110" s="439">
        <f>D99*$P$99</f>
        <v>0</v>
      </c>
      <c r="E110" s="434"/>
      <c r="F110" s="430">
        <f t="shared" si="4"/>
        <v>0</v>
      </c>
      <c r="G110" s="3"/>
      <c r="H110" s="151"/>
      <c r="J110" s="150">
        <v>2910</v>
      </c>
      <c r="K110" s="140"/>
      <c r="L110" s="286">
        <f>IF(L106&gt;=(J108+J109+J110),J110*P108,(L106-J109-J108)*P108)</f>
        <v>2078.904</v>
      </c>
      <c r="M110" s="286">
        <f>IF(M106&gt;0,IF(M106&gt;=(J108+J109+J110),J110*P108,(M106-J109-J108)*P108),0)</f>
        <v>2078.904</v>
      </c>
      <c r="N110" s="104" t="s">
        <v>57</v>
      </c>
      <c r="O110" s="102"/>
      <c r="P110" s="125"/>
      <c r="Q110" s="229"/>
      <c r="R110" s="150"/>
    </row>
    <row r="111" spans="1:18" ht="15" customHeight="1" thickBot="1">
      <c r="A111" s="150"/>
      <c r="B111" s="323"/>
      <c r="C111" s="324" t="s">
        <v>207</v>
      </c>
      <c r="D111" s="325">
        <f>SUM(D107:D110)</f>
        <v>2184.0943917141117</v>
      </c>
      <c r="E111" s="325">
        <f>SUM(E107:E110)</f>
        <v>0</v>
      </c>
      <c r="F111" s="327">
        <f t="shared" si="4"/>
        <v>2184.0943917141117</v>
      </c>
      <c r="G111" s="3"/>
      <c r="H111" s="151"/>
      <c r="J111" s="280" t="s">
        <v>223</v>
      </c>
      <c r="K111" s="121"/>
      <c r="L111" s="136"/>
      <c r="M111" s="136"/>
      <c r="N111" s="2">
        <v>1200</v>
      </c>
      <c r="O111" s="3" t="s">
        <v>161</v>
      </c>
      <c r="P111" s="115">
        <v>0.34179999999999999</v>
      </c>
      <c r="Q111" s="151" t="s">
        <v>222</v>
      </c>
      <c r="R111" s="150"/>
    </row>
    <row r="112" spans="1:18" ht="15" customHeight="1">
      <c r="A112" s="150"/>
      <c r="G112" s="3"/>
      <c r="H112" s="151"/>
      <c r="J112" s="281" t="s">
        <v>224</v>
      </c>
      <c r="K112" s="144"/>
      <c r="L112" s="287">
        <f>SUM(L108:L111)</f>
        <v>2405.4144000000001</v>
      </c>
      <c r="M112" s="287">
        <f>SUM(M108:M111)</f>
        <v>2405.4144000000001</v>
      </c>
      <c r="N112" s="122" t="s">
        <v>225</v>
      </c>
      <c r="O112" s="10" t="s">
        <v>161</v>
      </c>
      <c r="P112" s="124">
        <v>0.2923</v>
      </c>
      <c r="Q112" s="235" t="s">
        <v>222</v>
      </c>
      <c r="R112" s="150"/>
    </row>
    <row r="113" spans="1:19" ht="15" customHeight="1">
      <c r="A113" s="150"/>
      <c r="B113" s="104" t="s">
        <v>226</v>
      </c>
      <c r="C113" s="102"/>
      <c r="D113" s="102"/>
      <c r="E113" s="102"/>
      <c r="F113" s="103"/>
      <c r="G113" s="3"/>
      <c r="H113" s="151"/>
      <c r="J113" s="150"/>
      <c r="K113" s="3"/>
      <c r="L113" s="3"/>
      <c r="M113" s="3"/>
      <c r="N113" s="3"/>
      <c r="O113" s="3"/>
      <c r="P113" s="3"/>
      <c r="Q113" s="151"/>
      <c r="R113" s="150"/>
    </row>
    <row r="114" spans="1:19" ht="15" customHeight="1">
      <c r="A114" s="150"/>
      <c r="B114" s="18" t="s">
        <v>227</v>
      </c>
      <c r="C114" s="19"/>
      <c r="D114" s="19"/>
      <c r="E114" s="19"/>
      <c r="F114" s="308">
        <f>D95-D100</f>
        <v>-8824.5405855241406</v>
      </c>
      <c r="G114" s="3"/>
      <c r="H114" s="151"/>
      <c r="J114" s="150"/>
      <c r="K114" s="3"/>
      <c r="L114" s="3"/>
      <c r="M114" s="3"/>
      <c r="N114" s="283" t="s">
        <v>228</v>
      </c>
      <c r="O114" s="3"/>
      <c r="P114" s="3"/>
      <c r="Q114" s="151"/>
      <c r="R114" s="150"/>
    </row>
    <row r="115" spans="1:19" ht="15" customHeight="1">
      <c r="A115" s="150"/>
      <c r="B115" s="26" t="s">
        <v>229</v>
      </c>
      <c r="C115" s="23"/>
      <c r="D115" s="23"/>
      <c r="E115" s="23"/>
      <c r="F115" s="309">
        <f>IF(D55&lt;&gt;J57,F95-F100,"")</f>
        <v>78.169663152540409</v>
      </c>
      <c r="G115" s="3"/>
      <c r="H115" s="151"/>
      <c r="J115" s="250" t="s">
        <v>230</v>
      </c>
      <c r="K115" s="102"/>
      <c r="L115" s="102"/>
      <c r="M115" s="102"/>
      <c r="N115" s="104" t="s">
        <v>46</v>
      </c>
      <c r="O115" s="102"/>
      <c r="P115" s="103"/>
      <c r="Q115" s="151"/>
      <c r="R115" s="150"/>
    </row>
    <row r="116" spans="1:19" ht="15" customHeight="1">
      <c r="A116" s="150"/>
      <c r="B116" s="16" t="s">
        <v>231</v>
      </c>
      <c r="C116" s="5"/>
      <c r="D116" s="5"/>
      <c r="E116" s="5"/>
      <c r="F116" s="130">
        <f>IF(D55&lt;&gt;J57,E95-E100,"")</f>
        <v>1082.8023106603075</v>
      </c>
      <c r="G116" s="3"/>
      <c r="H116" s="151"/>
      <c r="J116" s="150"/>
      <c r="K116" s="3"/>
      <c r="L116" s="128" t="s">
        <v>220</v>
      </c>
      <c r="M116" s="128" t="s">
        <v>221</v>
      </c>
      <c r="N116" s="4" t="s">
        <v>232</v>
      </c>
      <c r="O116" s="105">
        <f>AVERAGE('Lists &amp; Data'!O22:O58)/100</f>
        <v>3.3402702702702705</v>
      </c>
      <c r="P116" s="6" t="s">
        <v>233</v>
      </c>
      <c r="Q116" s="151"/>
      <c r="R116" s="150"/>
    </row>
    <row r="117" spans="1:19" ht="15" customHeight="1">
      <c r="A117" s="150"/>
      <c r="B117" s="26" t="s">
        <v>234</v>
      </c>
      <c r="C117" s="23"/>
      <c r="D117" s="23"/>
      <c r="E117" s="23"/>
      <c r="F117" s="310">
        <f>F106-F111</f>
        <v>700.70431741132825</v>
      </c>
      <c r="G117" s="3"/>
      <c r="H117" s="151"/>
      <c r="J117" s="150" t="s">
        <v>235</v>
      </c>
      <c r="K117" s="3"/>
      <c r="L117" s="284">
        <f>IF(E12=J56,F74,"")</f>
        <v>108.28023106603075</v>
      </c>
      <c r="M117" s="284">
        <f>IF(E12=J56,F79,"")</f>
        <v>0</v>
      </c>
      <c r="N117" s="3"/>
      <c r="O117" s="3"/>
      <c r="P117" s="3"/>
      <c r="Q117" s="151"/>
      <c r="R117" s="440"/>
    </row>
    <row r="118" spans="1:19" ht="15" customHeight="1">
      <c r="A118" s="150"/>
      <c r="G118" s="3"/>
      <c r="H118" s="151"/>
      <c r="J118" s="251" t="s">
        <v>218</v>
      </c>
      <c r="K118" s="121"/>
      <c r="L118" s="285">
        <f>IF(E12=J56,E74,"")</f>
        <v>1082.8023106603075</v>
      </c>
      <c r="M118" s="285">
        <f>IF(E12=J56,E79,"")</f>
        <v>0</v>
      </c>
      <c r="N118" s="3"/>
      <c r="O118" s="3"/>
      <c r="P118" s="3"/>
      <c r="Q118" s="151"/>
      <c r="R118" s="150"/>
    </row>
    <row r="119" spans="1:19" ht="15" customHeight="1">
      <c r="A119" s="150"/>
      <c r="G119" s="3"/>
      <c r="H119" s="151"/>
      <c r="J119" s="282" t="s">
        <v>236</v>
      </c>
      <c r="K119" s="140"/>
      <c r="L119" s="288">
        <f>IFERROR(L117/C37,0)</f>
        <v>778.99446810094059</v>
      </c>
      <c r="M119" s="288">
        <f>IFERROR(M117/C37,0)</f>
        <v>0</v>
      </c>
      <c r="N119" s="3"/>
      <c r="O119" s="3"/>
      <c r="P119" s="3"/>
      <c r="Q119" s="151"/>
      <c r="R119" s="150"/>
    </row>
    <row r="120" spans="1:19" ht="15" customHeight="1">
      <c r="A120" s="150"/>
      <c r="G120" s="3"/>
      <c r="H120" s="151"/>
      <c r="J120" s="251" t="s">
        <v>237</v>
      </c>
      <c r="K120" s="121"/>
      <c r="L120" s="289">
        <f>O116</f>
        <v>3.3402702702702705</v>
      </c>
      <c r="M120" s="289">
        <f>O116</f>
        <v>3.3402702702702705</v>
      </c>
      <c r="N120" s="3"/>
      <c r="O120" s="3"/>
      <c r="P120" s="3"/>
      <c r="Q120" s="151"/>
      <c r="R120" s="150"/>
    </row>
    <row r="121" spans="1:19" ht="15" customHeight="1">
      <c r="A121" s="150"/>
      <c r="G121" s="3"/>
      <c r="H121" s="151"/>
      <c r="J121" s="281" t="s">
        <v>238</v>
      </c>
      <c r="K121" s="144"/>
      <c r="L121" s="287">
        <f>L119*L120</f>
        <v>2602.0520625025742</v>
      </c>
      <c r="M121" s="287">
        <f>M119*M120</f>
        <v>0</v>
      </c>
      <c r="N121" s="3"/>
      <c r="O121" s="3"/>
      <c r="P121" s="3"/>
      <c r="Q121" s="151"/>
      <c r="R121" s="150"/>
    </row>
    <row r="122" spans="1:19" ht="15" customHeight="1">
      <c r="A122" s="150"/>
      <c r="B122" s="3"/>
      <c r="C122" s="3"/>
      <c r="D122" s="3"/>
      <c r="E122" s="3"/>
      <c r="F122" s="3"/>
      <c r="G122" s="3"/>
      <c r="H122" s="151"/>
      <c r="J122" s="150"/>
      <c r="K122" s="3"/>
      <c r="L122" s="3"/>
      <c r="M122" s="3"/>
      <c r="N122" s="3"/>
      <c r="O122" s="3"/>
      <c r="P122" s="3"/>
      <c r="Q122" s="151"/>
      <c r="R122" s="150"/>
    </row>
    <row r="123" spans="1:19" ht="15" customHeight="1">
      <c r="A123" s="150"/>
      <c r="B123" s="3"/>
      <c r="C123" s="3"/>
      <c r="D123" s="3"/>
      <c r="E123" s="3"/>
      <c r="F123" s="3"/>
      <c r="G123" s="3"/>
      <c r="H123" s="151"/>
      <c r="J123" s="150"/>
      <c r="K123" s="3"/>
      <c r="L123" s="3"/>
      <c r="M123" s="3"/>
      <c r="N123" s="3"/>
      <c r="O123" s="3"/>
      <c r="P123" s="3"/>
      <c r="Q123" s="151"/>
      <c r="R123" s="150"/>
    </row>
    <row r="124" spans="1:19" ht="15" customHeight="1">
      <c r="A124" s="150"/>
      <c r="B124" s="3"/>
      <c r="C124" s="3"/>
      <c r="D124" s="3"/>
      <c r="E124" s="3"/>
      <c r="F124" s="3"/>
      <c r="G124" s="3"/>
      <c r="H124" s="151"/>
      <c r="J124" s="150"/>
      <c r="K124" s="3"/>
      <c r="L124" s="3"/>
      <c r="M124" s="3"/>
      <c r="N124" s="3"/>
      <c r="O124" s="3"/>
      <c r="P124" s="3"/>
      <c r="Q124" s="151"/>
      <c r="R124" s="150"/>
    </row>
    <row r="125" spans="1:19" ht="15" customHeight="1">
      <c r="A125" s="150"/>
      <c r="B125" s="3"/>
      <c r="C125" s="3"/>
      <c r="D125" s="3"/>
      <c r="E125" s="3"/>
      <c r="F125" s="3"/>
      <c r="G125" s="3"/>
      <c r="H125" s="151"/>
      <c r="J125" s="150"/>
      <c r="K125" s="3"/>
      <c r="L125" s="3"/>
      <c r="M125" s="3"/>
      <c r="N125" s="3"/>
      <c r="O125" s="3"/>
      <c r="P125" s="3"/>
      <c r="Q125" s="151"/>
      <c r="R125" s="150"/>
    </row>
    <row r="126" spans="1:19" ht="15" customHeight="1" thickBot="1">
      <c r="A126" s="154"/>
      <c r="B126" s="155"/>
      <c r="C126" s="155"/>
      <c r="D126" s="155"/>
      <c r="E126" s="155"/>
      <c r="F126" s="155"/>
      <c r="G126" s="155"/>
      <c r="H126" s="156"/>
      <c r="J126" s="154"/>
      <c r="K126" s="155"/>
      <c r="L126" s="155"/>
      <c r="M126" s="155"/>
      <c r="N126" s="155"/>
      <c r="O126" s="155"/>
      <c r="P126" s="155"/>
      <c r="Q126" s="156"/>
      <c r="R126" s="238"/>
    </row>
    <row r="127" spans="1:19" ht="15" customHeight="1">
      <c r="N127" s="3"/>
      <c r="O127" s="3"/>
      <c r="P127" s="3"/>
      <c r="Q127" s="3"/>
      <c r="R127" s="3"/>
      <c r="S127" s="3"/>
    </row>
    <row r="128" spans="1:19" ht="15" customHeight="1">
      <c r="N128" s="3"/>
      <c r="O128" s="3"/>
      <c r="P128" s="3"/>
      <c r="Q128" s="3"/>
      <c r="R128" s="3"/>
    </row>
    <row r="129" spans="12:19" ht="15" customHeight="1">
      <c r="N129" s="3"/>
      <c r="O129" s="3"/>
      <c r="P129" s="3"/>
      <c r="Q129" s="3"/>
    </row>
    <row r="130" spans="12:19" ht="15" customHeight="1">
      <c r="N130" s="3"/>
      <c r="O130" s="3"/>
      <c r="P130" s="3"/>
      <c r="Q130" s="3"/>
      <c r="R130" s="3"/>
      <c r="S130" s="3"/>
    </row>
    <row r="131" spans="12:19" ht="15" customHeight="1">
      <c r="N131" s="3"/>
      <c r="O131" s="3"/>
      <c r="P131" s="3"/>
      <c r="Q131" s="3"/>
      <c r="R131" s="3"/>
    </row>
    <row r="132" spans="12:19" ht="15" customHeight="1">
      <c r="N132" s="3"/>
      <c r="O132" s="3"/>
      <c r="P132" s="3"/>
      <c r="Q132" s="3"/>
      <c r="R132" s="3"/>
    </row>
    <row r="133" spans="12:19" ht="15" customHeight="1">
      <c r="N133" s="3"/>
      <c r="O133" s="3"/>
      <c r="P133" s="3"/>
      <c r="Q133" s="3"/>
      <c r="R133" s="3"/>
    </row>
    <row r="134" spans="12:19" ht="15" customHeight="1">
      <c r="L134" s="115"/>
      <c r="M134" s="3"/>
      <c r="N134" s="3"/>
      <c r="O134" s="3"/>
      <c r="P134" s="3"/>
      <c r="Q134" s="3"/>
      <c r="R134" s="3"/>
    </row>
    <row r="135" spans="12:19" ht="15" customHeight="1">
      <c r="R135" s="3"/>
    </row>
  </sheetData>
  <mergeCells count="11">
    <mergeCell ref="P60:Q60"/>
    <mergeCell ref="K45:L45"/>
    <mergeCell ref="M45:N45"/>
    <mergeCell ref="A1:H2"/>
    <mergeCell ref="J1:Q2"/>
    <mergeCell ref="K38:L38"/>
    <mergeCell ref="M38:N38"/>
    <mergeCell ref="K32:L32"/>
    <mergeCell ref="M32:N32"/>
    <mergeCell ref="B53:D53"/>
    <mergeCell ref="E53:G53"/>
  </mergeCells>
  <hyperlinks>
    <hyperlink ref="M31" r:id="rId1" xr:uid="{6D247BD4-53F3-4EE5-ACB2-58062DB556FD}"/>
    <hyperlink ref="J91" r:id="rId2" display="ConEd Electric Service Classification Rates for Residential and Religious Buildings" xr:uid="{480AEA5C-EEB7-481A-9D3C-3B4211AB2238}"/>
    <hyperlink ref="N104" r:id="rId3" xr:uid="{074E4285-9972-4E76-8D24-8A48850B57F5}"/>
    <hyperlink ref="N114" r:id="rId4" xr:uid="{50538996-2181-46EB-A53C-4999F08907DB}"/>
    <hyperlink ref="N91" r:id="rId5" xr:uid="{4D0219EA-1468-41A6-B4B0-5A7C2FE18E72}"/>
    <hyperlink ref="P4" r:id="rId6" display="Source: NY SEA pg 363" xr:uid="{7B9CA43C-EF31-49C0-A53C-95B779EF9A58}"/>
  </hyperlinks>
  <pageMargins left="0.7" right="0.7" top="0.75" bottom="0.75" header="0.3" footer="0.3"/>
  <pageSetup orientation="portrait" r:id="rId7"/>
  <drawing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84222-0BBF-46B4-B796-20E4C46AA244}">
  <sheetPr codeName="Sheet3"/>
  <dimension ref="B2:D21"/>
  <sheetViews>
    <sheetView workbookViewId="0"/>
  </sheetViews>
  <sheetFormatPr defaultColWidth="11.7109375" defaultRowHeight="15"/>
  <sheetData>
    <row r="2" spans="2:4">
      <c r="B2" s="49" t="s">
        <v>152</v>
      </c>
      <c r="C2" s="50"/>
      <c r="D2" s="50"/>
    </row>
    <row r="3" spans="2:4">
      <c r="B3" s="51" t="s">
        <v>239</v>
      </c>
      <c r="C3" s="52"/>
      <c r="D3" s="52"/>
    </row>
    <row r="4" spans="2:4">
      <c r="B4" s="58" t="s">
        <v>240</v>
      </c>
      <c r="C4" s="59"/>
      <c r="D4" s="60"/>
    </row>
    <row r="5" spans="2:4" ht="17.25">
      <c r="B5" s="53" t="s">
        <v>158</v>
      </c>
      <c r="C5" s="54"/>
      <c r="D5" s="55"/>
    </row>
    <row r="6" spans="2:4">
      <c r="B6" s="56" t="s">
        <v>164</v>
      </c>
      <c r="C6" s="56" t="s">
        <v>241</v>
      </c>
      <c r="D6" s="56" t="s">
        <v>242</v>
      </c>
    </row>
    <row r="7" spans="2:4">
      <c r="B7" s="56" t="s">
        <v>170</v>
      </c>
      <c r="C7" s="57">
        <v>0.13919999999999999</v>
      </c>
      <c r="D7" s="57">
        <v>0.1041</v>
      </c>
    </row>
    <row r="8" spans="2:4">
      <c r="B8" s="56" t="s">
        <v>172</v>
      </c>
      <c r="C8" s="57">
        <v>-8.4600000000000005E-3</v>
      </c>
      <c r="D8" s="57">
        <v>-8.8620000000000001E-3</v>
      </c>
    </row>
    <row r="9" spans="2:4">
      <c r="B9" s="56" t="s">
        <v>173</v>
      </c>
      <c r="C9" s="57">
        <v>-1.0739999999999999E-4</v>
      </c>
      <c r="D9" s="57">
        <v>-1.153E-4</v>
      </c>
    </row>
    <row r="10" spans="2:4">
      <c r="B10" s="56" t="s">
        <v>175</v>
      </c>
      <c r="C10" s="57">
        <v>2.2800000000000001E-2</v>
      </c>
      <c r="D10" s="57">
        <v>2.8170000000000001E-2</v>
      </c>
    </row>
    <row r="11" spans="2:4">
      <c r="B11" s="56" t="s">
        <v>176</v>
      </c>
      <c r="C11" s="57">
        <v>0.96489999999999998</v>
      </c>
      <c r="D11" s="57">
        <v>0.96479999999999999</v>
      </c>
    </row>
    <row r="12" spans="2:4" s="46" customFormat="1">
      <c r="B12" s="61" t="s">
        <v>243</v>
      </c>
      <c r="C12" s="62"/>
      <c r="D12" s="63"/>
    </row>
    <row r="13" spans="2:4">
      <c r="B13" s="53" t="s">
        <v>159</v>
      </c>
      <c r="C13" s="54"/>
      <c r="D13" s="55"/>
    </row>
    <row r="14" spans="2:4">
      <c r="B14" s="56" t="s">
        <v>164</v>
      </c>
      <c r="C14" s="56" t="s">
        <v>244</v>
      </c>
      <c r="D14" s="56" t="s">
        <v>245</v>
      </c>
    </row>
    <row r="15" spans="2:4">
      <c r="B15" s="56" t="s">
        <v>170</v>
      </c>
      <c r="C15" s="57">
        <v>-0.5655</v>
      </c>
      <c r="D15" s="57">
        <v>-0.58640000000000003</v>
      </c>
    </row>
    <row r="16" spans="2:4">
      <c r="B16" s="56" t="s">
        <v>172</v>
      </c>
      <c r="C16" s="57">
        <v>5.4140000000000004E-3</v>
      </c>
      <c r="D16" s="57">
        <v>5.6680000000000003E-3</v>
      </c>
    </row>
    <row r="17" spans="2:4">
      <c r="B17" s="56" t="s">
        <v>173</v>
      </c>
      <c r="C17" s="57">
        <v>1.039E-2</v>
      </c>
      <c r="D17" s="57">
        <v>1.0290000000000001E-2</v>
      </c>
    </row>
    <row r="18" spans="2:4">
      <c r="B18" s="56" t="s">
        <v>176</v>
      </c>
      <c r="C18" s="57">
        <v>0.96240000000000003</v>
      </c>
      <c r="D18" s="57">
        <v>0.96540000000000004</v>
      </c>
    </row>
    <row r="19" spans="2:4">
      <c r="B19" s="64" t="s">
        <v>246</v>
      </c>
      <c r="C19" s="71"/>
      <c r="D19" s="72"/>
    </row>
    <row r="20" spans="2:4">
      <c r="B20" s="65" t="s">
        <v>247</v>
      </c>
      <c r="C20" s="66"/>
      <c r="D20" s="67"/>
    </row>
    <row r="21" spans="2:4">
      <c r="B21" s="68" t="s">
        <v>248</v>
      </c>
      <c r="C21" s="69"/>
      <c r="D21" s="70"/>
    </row>
  </sheetData>
  <hyperlinks>
    <hyperlink ref="B3" r:id="rId1" xr:uid="{D05BCB98-BC16-4724-A309-60A5D7F584BC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2AB6A-F9EE-4B2D-9AA1-EE8B166B343A}">
  <sheetPr codeName="Sheet4"/>
  <dimension ref="B2:AA73"/>
  <sheetViews>
    <sheetView workbookViewId="0"/>
  </sheetViews>
  <sheetFormatPr defaultColWidth="8.85546875" defaultRowHeight="15"/>
  <cols>
    <col min="11" max="11" width="10.7109375" bestFit="1" customWidth="1"/>
    <col min="14" max="14" width="10.7109375" bestFit="1" customWidth="1"/>
  </cols>
  <sheetData>
    <row r="2" spans="2:27" ht="15.75" thickBot="1">
      <c r="B2" s="32" t="s">
        <v>249</v>
      </c>
      <c r="C2" s="32"/>
      <c r="D2" s="48"/>
      <c r="E2" s="46"/>
      <c r="F2" s="32" t="s">
        <v>250</v>
      </c>
      <c r="G2" s="32"/>
      <c r="H2" s="32"/>
      <c r="I2" s="46"/>
      <c r="J2" s="46"/>
      <c r="K2" s="46"/>
      <c r="L2" s="46"/>
      <c r="M2" s="46"/>
      <c r="N2" s="90" t="s">
        <v>251</v>
      </c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2:27">
      <c r="B3" s="33" t="s">
        <v>252</v>
      </c>
      <c r="C3" s="39"/>
      <c r="D3" s="34"/>
      <c r="E3" s="46"/>
      <c r="F3" s="33" t="s">
        <v>190</v>
      </c>
      <c r="G3" s="39"/>
      <c r="H3" s="34"/>
      <c r="I3" s="46"/>
      <c r="J3" s="46"/>
      <c r="K3" s="46"/>
      <c r="L3" s="46"/>
      <c r="M3" s="46"/>
      <c r="N3" s="7" t="s">
        <v>253</v>
      </c>
      <c r="O3" s="8"/>
      <c r="P3" s="8"/>
      <c r="Q3" s="8"/>
      <c r="R3" s="8"/>
      <c r="S3" s="8"/>
      <c r="T3" s="8"/>
      <c r="U3" s="91"/>
      <c r="V3" s="8"/>
      <c r="W3" s="8"/>
      <c r="X3" s="8"/>
      <c r="Y3" s="8"/>
      <c r="Z3" s="8"/>
      <c r="AA3" s="27"/>
    </row>
    <row r="4" spans="2:27">
      <c r="B4" s="35" t="s">
        <v>254</v>
      </c>
      <c r="C4" s="47"/>
      <c r="D4" s="36"/>
      <c r="E4" s="46"/>
      <c r="F4" s="35" t="s">
        <v>255</v>
      </c>
      <c r="G4" s="47"/>
      <c r="H4" s="36"/>
      <c r="I4" s="46"/>
      <c r="J4" s="46"/>
      <c r="K4" s="46"/>
      <c r="L4" s="46"/>
      <c r="M4" s="46"/>
      <c r="N4" s="98" t="s">
        <v>256</v>
      </c>
      <c r="O4" s="1" t="s">
        <v>257</v>
      </c>
      <c r="P4" s="1" t="s">
        <v>258</v>
      </c>
      <c r="Q4" s="1" t="s">
        <v>259</v>
      </c>
      <c r="R4" s="1" t="s">
        <v>260</v>
      </c>
      <c r="S4" s="1" t="s">
        <v>261</v>
      </c>
      <c r="T4" s="1" t="s">
        <v>262</v>
      </c>
      <c r="U4" s="1" t="s">
        <v>263</v>
      </c>
      <c r="V4" s="1" t="s">
        <v>264</v>
      </c>
      <c r="W4" s="1" t="s">
        <v>265</v>
      </c>
      <c r="X4" s="1" t="s">
        <v>266</v>
      </c>
      <c r="Y4" s="1" t="s">
        <v>267</v>
      </c>
      <c r="Z4" s="1" t="s">
        <v>268</v>
      </c>
      <c r="AA4" s="9" t="s">
        <v>269</v>
      </c>
    </row>
    <row r="5" spans="2:27">
      <c r="B5" s="35" t="s">
        <v>270</v>
      </c>
      <c r="C5" s="47"/>
      <c r="D5" s="36"/>
      <c r="E5" s="46"/>
      <c r="F5" s="37" t="s">
        <v>271</v>
      </c>
      <c r="G5" s="40"/>
      <c r="H5" s="38"/>
      <c r="I5" s="46"/>
      <c r="J5" s="46"/>
      <c r="K5" s="46"/>
      <c r="L5" s="46"/>
      <c r="M5" s="46"/>
      <c r="N5" s="99">
        <f t="shared" ref="N5:N15" si="0">AVERAGE(P5:AA5)</f>
        <v>0.19216666666666662</v>
      </c>
      <c r="O5" s="393">
        <v>2008</v>
      </c>
      <c r="P5" s="92">
        <v>0.183</v>
      </c>
      <c r="Q5" s="92">
        <v>0.183</v>
      </c>
      <c r="R5" s="92">
        <v>0.17599999999999999</v>
      </c>
      <c r="S5" s="92">
        <v>0.18</v>
      </c>
      <c r="T5" s="92">
        <v>0.182</v>
      </c>
      <c r="U5" s="92">
        <v>0.20899999999999999</v>
      </c>
      <c r="V5" s="92">
        <v>0.218</v>
      </c>
      <c r="W5" s="92">
        <v>0.23499999999999999</v>
      </c>
      <c r="X5" s="92">
        <v>0.20200000000000001</v>
      </c>
      <c r="Y5" s="92">
        <v>0.182</v>
      </c>
      <c r="Z5" s="92">
        <v>0.17</v>
      </c>
      <c r="AA5" s="93">
        <v>0.186</v>
      </c>
    </row>
    <row r="6" spans="2:27">
      <c r="B6" s="35" t="s">
        <v>272</v>
      </c>
      <c r="C6" s="47"/>
      <c r="D6" s="36"/>
      <c r="E6" s="46"/>
      <c r="F6" s="46"/>
      <c r="G6" s="46"/>
      <c r="H6" s="46"/>
      <c r="I6" s="46"/>
      <c r="J6" s="46"/>
      <c r="K6" s="46"/>
      <c r="L6" s="46"/>
      <c r="M6" s="46"/>
      <c r="N6" s="100">
        <f t="shared" si="0"/>
        <v>0.1968333333333333</v>
      </c>
      <c r="O6" s="394">
        <v>2009</v>
      </c>
      <c r="P6" s="96">
        <v>0.192</v>
      </c>
      <c r="Q6" s="96">
        <v>0.186</v>
      </c>
      <c r="R6" s="96">
        <v>0.189</v>
      </c>
      <c r="S6" s="96">
        <v>0.186</v>
      </c>
      <c r="T6" s="96">
        <v>0.188</v>
      </c>
      <c r="U6" s="96">
        <v>0.21</v>
      </c>
      <c r="V6" s="96">
        <v>0.21199999999999999</v>
      </c>
      <c r="W6" s="96">
        <v>0.20599999999999999</v>
      </c>
      <c r="X6" s="96">
        <v>0.21</v>
      </c>
      <c r="Y6" s="96">
        <v>0.19500000000000001</v>
      </c>
      <c r="Z6" s="96">
        <v>0.19500000000000001</v>
      </c>
      <c r="AA6" s="97">
        <v>0.193</v>
      </c>
    </row>
    <row r="7" spans="2:27">
      <c r="B7" s="37" t="s">
        <v>273</v>
      </c>
      <c r="C7" s="40"/>
      <c r="D7" s="38"/>
      <c r="E7" s="46"/>
      <c r="F7" s="46"/>
      <c r="G7" s="46"/>
      <c r="H7" s="46"/>
      <c r="I7" s="46"/>
      <c r="J7" s="46"/>
      <c r="K7" s="46"/>
      <c r="L7" s="46"/>
      <c r="M7" s="46"/>
      <c r="N7" s="101">
        <f t="shared" si="0"/>
        <v>0.20083333333333334</v>
      </c>
      <c r="O7" s="395">
        <v>2010</v>
      </c>
      <c r="P7" s="94">
        <v>0.19400000000000001</v>
      </c>
      <c r="Q7" s="94">
        <v>0.19600000000000001</v>
      </c>
      <c r="R7" s="94">
        <v>0.19900000000000001</v>
      </c>
      <c r="S7" s="94">
        <v>0.20699999999999999</v>
      </c>
      <c r="T7" s="94">
        <v>0.20300000000000001</v>
      </c>
      <c r="U7" s="94">
        <v>0.20699999999999999</v>
      </c>
      <c r="V7" s="94">
        <v>0.20799999999999999</v>
      </c>
      <c r="W7" s="94">
        <v>0.20399999999999999</v>
      </c>
      <c r="X7" s="94">
        <v>0.20399999999999999</v>
      </c>
      <c r="Y7" s="94">
        <v>0.19400000000000001</v>
      </c>
      <c r="Z7" s="94">
        <v>0.19600000000000001</v>
      </c>
      <c r="AA7" s="95">
        <v>0.19800000000000001</v>
      </c>
    </row>
    <row r="8" spans="2:27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100">
        <f t="shared" si="0"/>
        <v>0.19533333333333336</v>
      </c>
      <c r="O8" s="394">
        <v>2011</v>
      </c>
      <c r="P8" s="96">
        <v>0.193</v>
      </c>
      <c r="Q8" s="96">
        <v>0.191</v>
      </c>
      <c r="R8" s="96">
        <v>0.192</v>
      </c>
      <c r="S8" s="96">
        <v>0.189</v>
      </c>
      <c r="T8" s="96">
        <v>0.19700000000000001</v>
      </c>
      <c r="U8" s="96">
        <v>0.20399999999999999</v>
      </c>
      <c r="V8" s="96">
        <v>0.21</v>
      </c>
      <c r="W8" s="96">
        <v>0.2</v>
      </c>
      <c r="X8" s="96">
        <v>0.20499999999999999</v>
      </c>
      <c r="Y8" s="96">
        <v>0.191</v>
      </c>
      <c r="Z8" s="96">
        <v>0.188</v>
      </c>
      <c r="AA8" s="97">
        <v>0.184</v>
      </c>
    </row>
    <row r="9" spans="2:27">
      <c r="B9" s="32" t="s">
        <v>5</v>
      </c>
      <c r="C9" s="32"/>
      <c r="D9" s="32"/>
      <c r="E9" s="46"/>
      <c r="F9" s="32" t="s">
        <v>274</v>
      </c>
      <c r="G9" s="32"/>
      <c r="H9" s="32"/>
      <c r="I9" s="46"/>
      <c r="J9" s="32" t="s">
        <v>275</v>
      </c>
      <c r="K9" s="32"/>
      <c r="L9" s="32"/>
      <c r="M9" s="46"/>
      <c r="N9" s="101">
        <f t="shared" si="0"/>
        <v>0.19083333333333333</v>
      </c>
      <c r="O9" s="395">
        <v>2012</v>
      </c>
      <c r="P9" s="94">
        <v>0.189</v>
      </c>
      <c r="Q9" s="94">
        <v>0.186</v>
      </c>
      <c r="R9" s="94">
        <v>0.186</v>
      </c>
      <c r="S9" s="94">
        <v>0.185</v>
      </c>
      <c r="T9" s="94">
        <v>0.191</v>
      </c>
      <c r="U9" s="94">
        <v>0.20300000000000001</v>
      </c>
      <c r="V9" s="94">
        <v>0.19800000000000001</v>
      </c>
      <c r="W9" s="94">
        <v>0.19400000000000001</v>
      </c>
      <c r="X9" s="94">
        <v>0.20100000000000001</v>
      </c>
      <c r="Y9" s="94">
        <v>0.186</v>
      </c>
      <c r="Z9" s="94">
        <v>0.188</v>
      </c>
      <c r="AA9" s="95">
        <v>0.183</v>
      </c>
    </row>
    <row r="10" spans="2:27">
      <c r="B10" s="33" t="s">
        <v>6</v>
      </c>
      <c r="C10" s="39"/>
      <c r="D10" s="34"/>
      <c r="E10" s="46"/>
      <c r="F10" s="33" t="s">
        <v>298</v>
      </c>
      <c r="G10" s="39"/>
      <c r="H10" s="34"/>
      <c r="I10" s="46"/>
      <c r="J10" s="33" t="s">
        <v>276</v>
      </c>
      <c r="K10" s="39"/>
      <c r="L10" s="34"/>
      <c r="M10" s="46"/>
      <c r="N10" s="100">
        <f t="shared" si="0"/>
        <v>0.19675000000000001</v>
      </c>
      <c r="O10" s="394">
        <v>2013</v>
      </c>
      <c r="P10" s="96">
        <v>0.20200000000000001</v>
      </c>
      <c r="Q10" s="96">
        <v>0.19600000000000001</v>
      </c>
      <c r="R10" s="96">
        <v>0.188</v>
      </c>
      <c r="S10" s="96">
        <v>0.186</v>
      </c>
      <c r="T10" s="96">
        <v>0.193</v>
      </c>
      <c r="U10" s="96">
        <v>0.20300000000000001</v>
      </c>
      <c r="V10" s="96">
        <v>0.20799999999999999</v>
      </c>
      <c r="W10" s="96">
        <v>0.19700000000000001</v>
      </c>
      <c r="X10" s="96">
        <v>0.21299999999999999</v>
      </c>
      <c r="Y10" s="96">
        <v>0.188</v>
      </c>
      <c r="Z10" s="96">
        <v>0.191</v>
      </c>
      <c r="AA10" s="97">
        <v>0.19600000000000001</v>
      </c>
    </row>
    <row r="11" spans="2:27">
      <c r="B11" s="35" t="s">
        <v>277</v>
      </c>
      <c r="C11" s="47"/>
      <c r="D11" s="36"/>
      <c r="E11" s="46"/>
      <c r="F11" s="35" t="s">
        <v>299</v>
      </c>
      <c r="G11" s="47"/>
      <c r="H11" s="36"/>
      <c r="I11" s="46"/>
      <c r="J11" s="35" t="s">
        <v>76</v>
      </c>
      <c r="K11" s="47"/>
      <c r="L11" s="36"/>
      <c r="M11" s="46"/>
      <c r="N11" s="101">
        <f t="shared" si="0"/>
        <v>0.20516666666666669</v>
      </c>
      <c r="O11" s="395">
        <v>2014</v>
      </c>
      <c r="P11" s="94">
        <v>0.23200000000000001</v>
      </c>
      <c r="Q11" s="94">
        <v>0.20699999999999999</v>
      </c>
      <c r="R11" s="94">
        <v>0.21299999999999999</v>
      </c>
      <c r="S11" s="94">
        <v>0.19600000000000001</v>
      </c>
      <c r="T11" s="94">
        <v>0.20499999999999999</v>
      </c>
      <c r="U11" s="94">
        <v>0.21099999999999999</v>
      </c>
      <c r="V11" s="94">
        <v>0.20799999999999999</v>
      </c>
      <c r="W11" s="94">
        <v>0.20399999999999999</v>
      </c>
      <c r="X11" s="94">
        <v>0.19900000000000001</v>
      </c>
      <c r="Y11" s="94">
        <v>0.19400000000000001</v>
      </c>
      <c r="Z11" s="94">
        <v>0.19800000000000001</v>
      </c>
      <c r="AA11" s="95">
        <v>0.19500000000000001</v>
      </c>
    </row>
    <row r="12" spans="2:27">
      <c r="B12" s="37"/>
      <c r="C12" s="40"/>
      <c r="D12" s="38"/>
      <c r="E12" s="46"/>
      <c r="F12" s="37" t="s">
        <v>300</v>
      </c>
      <c r="G12" s="40"/>
      <c r="H12" s="38"/>
      <c r="I12" s="46"/>
      <c r="J12" s="37" t="s">
        <v>278</v>
      </c>
      <c r="K12" s="40"/>
      <c r="L12" s="38"/>
      <c r="M12" s="46"/>
      <c r="N12" s="100">
        <f t="shared" si="0"/>
        <v>0.19716666666666668</v>
      </c>
      <c r="O12" s="394">
        <v>2015</v>
      </c>
      <c r="P12" s="96">
        <v>0.20799999999999999</v>
      </c>
      <c r="Q12" s="96">
        <v>0.22</v>
      </c>
      <c r="R12" s="96">
        <v>0.19500000000000001</v>
      </c>
      <c r="S12" s="96">
        <v>0.19700000000000001</v>
      </c>
      <c r="T12" s="96">
        <v>0.192</v>
      </c>
      <c r="U12" s="96">
        <v>0.20699999999999999</v>
      </c>
      <c r="V12" s="96">
        <v>0.20100000000000001</v>
      </c>
      <c r="W12" s="96">
        <v>0.19800000000000001</v>
      </c>
      <c r="X12" s="96">
        <v>0.19500000000000001</v>
      </c>
      <c r="Y12" s="96">
        <v>0.185</v>
      </c>
      <c r="Z12" s="96">
        <v>0.186</v>
      </c>
      <c r="AA12" s="97">
        <v>0.182</v>
      </c>
    </row>
    <row r="13" spans="2:27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01">
        <f t="shared" si="0"/>
        <v>0.18600000000000003</v>
      </c>
      <c r="O13" s="395">
        <v>2016</v>
      </c>
      <c r="P13" s="94">
        <v>0.186</v>
      </c>
      <c r="Q13" s="94">
        <v>0.182</v>
      </c>
      <c r="R13" s="94">
        <v>0.187</v>
      </c>
      <c r="S13" s="94">
        <v>0.188</v>
      </c>
      <c r="T13" s="94">
        <v>0.17699999999999999</v>
      </c>
      <c r="U13" s="94">
        <v>0.19</v>
      </c>
      <c r="V13" s="94">
        <v>0.191</v>
      </c>
      <c r="W13" s="94">
        <v>0.191</v>
      </c>
      <c r="X13" s="94">
        <v>0.191</v>
      </c>
      <c r="Y13" s="94">
        <v>0.17899999999999999</v>
      </c>
      <c r="Z13" s="94">
        <v>0.17799999999999999</v>
      </c>
      <c r="AA13" s="95">
        <v>0.192</v>
      </c>
    </row>
    <row r="14" spans="2:27">
      <c r="B14" s="32" t="s">
        <v>279</v>
      </c>
      <c r="C14" s="48"/>
      <c r="D14" s="48"/>
      <c r="E14" s="48"/>
      <c r="F14" s="46"/>
      <c r="G14" s="46"/>
      <c r="H14" s="46"/>
      <c r="I14" s="46"/>
      <c r="J14" s="46"/>
      <c r="K14" s="46"/>
      <c r="L14" s="46"/>
      <c r="M14" s="46"/>
      <c r="N14" s="100">
        <f t="shared" si="0"/>
        <v>0.19841666666666669</v>
      </c>
      <c r="O14" s="394">
        <v>2017</v>
      </c>
      <c r="P14" s="96">
        <v>0.189</v>
      </c>
      <c r="Q14" s="96">
        <v>0.19400000000000001</v>
      </c>
      <c r="R14" s="96">
        <v>0.192</v>
      </c>
      <c r="S14" s="96">
        <v>0.189</v>
      </c>
      <c r="T14" s="96">
        <v>0.20200000000000001</v>
      </c>
      <c r="U14" s="96">
        <v>0.20799999999999999</v>
      </c>
      <c r="V14" s="96">
        <v>0.20499999999999999</v>
      </c>
      <c r="W14" s="96">
        <v>0.20100000000000001</v>
      </c>
      <c r="X14" s="96">
        <v>0.20300000000000001</v>
      </c>
      <c r="Y14" s="96">
        <v>0.19</v>
      </c>
      <c r="Z14" s="96">
        <v>0.2</v>
      </c>
      <c r="AA14" s="97">
        <v>0.20799999999999999</v>
      </c>
    </row>
    <row r="15" spans="2:27">
      <c r="B15" s="41" t="s">
        <v>280</v>
      </c>
      <c r="C15" s="41"/>
      <c r="D15" s="41" t="s">
        <v>281</v>
      </c>
      <c r="E15" s="41"/>
      <c r="F15" s="41" t="s">
        <v>280</v>
      </c>
      <c r="G15" s="46"/>
      <c r="H15" s="46"/>
      <c r="I15" s="46"/>
      <c r="J15" s="46"/>
      <c r="K15" s="46"/>
      <c r="L15" s="46"/>
      <c r="M15" s="46"/>
      <c r="N15" s="101">
        <f t="shared" si="0"/>
        <v>0.20541666666666666</v>
      </c>
      <c r="O15" s="395">
        <v>2018</v>
      </c>
      <c r="P15" s="94">
        <v>0.20200000000000001</v>
      </c>
      <c r="Q15" s="94">
        <v>0.19800000000000001</v>
      </c>
      <c r="R15" s="94">
        <v>0.20599999999999999</v>
      </c>
      <c r="S15" s="94">
        <v>0.20300000000000001</v>
      </c>
      <c r="T15" s="94">
        <v>0.21</v>
      </c>
      <c r="U15" s="94">
        <v>0.217</v>
      </c>
      <c r="V15" s="94">
        <v>0.216</v>
      </c>
      <c r="W15" s="94">
        <v>0.20799999999999999</v>
      </c>
      <c r="X15" s="94">
        <v>0.21199999999999999</v>
      </c>
      <c r="Y15" s="94">
        <v>0.20599999999999999</v>
      </c>
      <c r="Z15" s="94">
        <v>0.19400000000000001</v>
      </c>
      <c r="AA15" s="95">
        <v>0.193</v>
      </c>
    </row>
    <row r="16" spans="2:27" ht="15.75" thickBot="1">
      <c r="B16" s="33" t="s">
        <v>13</v>
      </c>
      <c r="C16" s="34"/>
      <c r="D16" s="33" t="s">
        <v>16</v>
      </c>
      <c r="E16" s="34"/>
      <c r="F16" s="33" t="s">
        <v>282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2:24">
      <c r="B17" s="35" t="s">
        <v>135</v>
      </c>
      <c r="C17" s="36"/>
      <c r="D17" s="35" t="s">
        <v>59</v>
      </c>
      <c r="E17" s="36"/>
      <c r="F17" s="35" t="s">
        <v>283</v>
      </c>
      <c r="G17" s="46"/>
      <c r="H17" s="46"/>
      <c r="I17" s="46"/>
      <c r="J17" s="46"/>
      <c r="K17" s="46"/>
      <c r="L17" s="46"/>
      <c r="M17" s="46"/>
      <c r="N17" s="447" t="s">
        <v>292</v>
      </c>
      <c r="O17" s="318"/>
      <c r="P17" s="91" t="s">
        <v>287</v>
      </c>
      <c r="Q17" s="27"/>
      <c r="R17" s="46"/>
      <c r="S17" s="46"/>
      <c r="T17" s="46"/>
      <c r="U17" s="46"/>
      <c r="V17" s="46"/>
      <c r="W17" s="46"/>
      <c r="X17" s="46"/>
    </row>
    <row r="18" spans="2:24">
      <c r="B18" s="37" t="s">
        <v>49</v>
      </c>
      <c r="C18" s="38"/>
      <c r="D18" s="37" t="s">
        <v>284</v>
      </c>
      <c r="E18" s="38"/>
      <c r="F18" s="37"/>
      <c r="G18" s="46"/>
      <c r="H18" s="46"/>
      <c r="I18" s="46"/>
      <c r="J18" s="46"/>
      <c r="N18" s="98" t="s">
        <v>285</v>
      </c>
      <c r="O18" s="98" t="s">
        <v>286</v>
      </c>
      <c r="P18" s="446">
        <f>AVERAGE(O22:O58)/100</f>
        <v>3.3402702702702705</v>
      </c>
      <c r="Q18" s="98"/>
      <c r="R18" s="46"/>
      <c r="S18" s="46"/>
      <c r="T18" s="46"/>
      <c r="U18" s="46"/>
      <c r="V18" s="46"/>
      <c r="W18" s="46"/>
      <c r="X18" s="46"/>
    </row>
    <row r="19" spans="2:24">
      <c r="B19" s="46"/>
      <c r="C19" s="46"/>
      <c r="D19" s="46"/>
      <c r="E19" s="46"/>
      <c r="F19" s="46"/>
      <c r="G19" s="46"/>
      <c r="H19" s="46"/>
      <c r="I19" s="46"/>
      <c r="J19" s="46"/>
      <c r="N19" s="448">
        <v>43486</v>
      </c>
      <c r="O19" s="36">
        <v>329.1</v>
      </c>
      <c r="P19" s="46"/>
      <c r="R19" s="46"/>
      <c r="S19" s="46"/>
      <c r="T19" s="46"/>
      <c r="U19" s="46"/>
      <c r="V19" s="46"/>
      <c r="W19" s="46"/>
      <c r="X19" s="46"/>
    </row>
    <row r="20" spans="2:24">
      <c r="B20" s="32" t="s">
        <v>288</v>
      </c>
      <c r="C20" s="32"/>
      <c r="D20" s="32"/>
      <c r="E20" s="46"/>
      <c r="F20" s="46"/>
      <c r="G20" s="46"/>
      <c r="H20" s="46"/>
      <c r="I20" s="46"/>
      <c r="J20" s="46"/>
      <c r="N20" s="448">
        <v>43479</v>
      </c>
      <c r="O20" s="36">
        <v>323.39999999999998</v>
      </c>
      <c r="P20" s="46"/>
      <c r="Q20" s="46"/>
      <c r="R20" s="46"/>
      <c r="S20" s="46"/>
      <c r="T20" s="46"/>
      <c r="U20" s="46"/>
      <c r="V20" s="46"/>
      <c r="W20" s="46"/>
      <c r="X20" s="46"/>
    </row>
    <row r="21" spans="2:24">
      <c r="B21" s="33" t="s">
        <v>289</v>
      </c>
      <c r="C21" s="39"/>
      <c r="D21" s="34"/>
      <c r="E21" s="46"/>
      <c r="F21" s="46"/>
      <c r="G21" s="46"/>
      <c r="H21" s="46"/>
      <c r="I21" s="46"/>
      <c r="J21" s="46"/>
      <c r="N21" s="448">
        <v>43472</v>
      </c>
      <c r="O21" s="36">
        <v>319.2</v>
      </c>
      <c r="P21" s="46"/>
      <c r="Q21" s="46"/>
      <c r="R21" s="46"/>
      <c r="S21" s="46"/>
      <c r="T21" s="46"/>
      <c r="U21" s="46"/>
      <c r="V21" s="46"/>
      <c r="W21" s="46"/>
      <c r="X21" s="46"/>
    </row>
    <row r="22" spans="2:24">
      <c r="B22" s="35" t="s">
        <v>75</v>
      </c>
      <c r="C22" s="47"/>
      <c r="D22" s="36"/>
      <c r="E22" s="46"/>
      <c r="F22" s="46"/>
      <c r="G22" s="46"/>
      <c r="H22" s="46"/>
      <c r="I22" s="46"/>
      <c r="J22" s="46"/>
      <c r="N22" s="448">
        <v>43465</v>
      </c>
      <c r="O22" s="36">
        <v>316</v>
      </c>
      <c r="P22" s="46"/>
      <c r="Q22" s="46"/>
      <c r="R22" s="46"/>
      <c r="S22" s="46"/>
      <c r="T22" s="46"/>
      <c r="U22" s="46"/>
      <c r="V22" s="46"/>
      <c r="W22" s="46"/>
      <c r="X22" s="46"/>
    </row>
    <row r="23" spans="2:24">
      <c r="B23" s="37" t="s">
        <v>23</v>
      </c>
      <c r="C23" s="47"/>
      <c r="D23" s="36"/>
      <c r="E23" s="46"/>
      <c r="F23" s="46"/>
      <c r="G23" s="46"/>
      <c r="H23" s="46"/>
      <c r="I23" s="46"/>
      <c r="J23" s="46"/>
      <c r="N23" s="448">
        <v>43458</v>
      </c>
      <c r="O23" s="36">
        <v>320</v>
      </c>
      <c r="P23" s="46"/>
      <c r="Q23" s="46"/>
      <c r="R23" s="46"/>
      <c r="S23" s="46"/>
      <c r="T23" s="46"/>
      <c r="U23" s="46"/>
      <c r="V23" s="46"/>
      <c r="W23" s="46"/>
      <c r="X23" s="46"/>
    </row>
    <row r="24" spans="2:24">
      <c r="B24" s="46"/>
      <c r="C24" s="40"/>
      <c r="D24" s="38"/>
      <c r="E24" s="46"/>
      <c r="F24" s="46"/>
      <c r="G24" s="46"/>
      <c r="H24" s="46"/>
      <c r="I24" s="46"/>
      <c r="J24" s="46"/>
      <c r="N24" s="448">
        <v>43451</v>
      </c>
      <c r="O24" s="36">
        <v>327.60000000000002</v>
      </c>
      <c r="P24" s="46"/>
      <c r="Q24" s="46"/>
      <c r="R24" s="46"/>
      <c r="S24" s="46"/>
      <c r="T24" s="46"/>
      <c r="U24" s="46"/>
      <c r="V24" s="46"/>
      <c r="W24" s="46"/>
      <c r="X24" s="46"/>
    </row>
    <row r="25" spans="2:24">
      <c r="B25" s="46"/>
      <c r="C25" s="46"/>
      <c r="D25" s="46"/>
      <c r="E25" s="46"/>
      <c r="F25" s="46"/>
      <c r="G25" s="46"/>
      <c r="H25" s="46"/>
      <c r="I25" s="46"/>
      <c r="J25" s="46"/>
      <c r="N25" s="448">
        <v>43444</v>
      </c>
      <c r="O25" s="36">
        <v>328.6</v>
      </c>
      <c r="P25" s="46"/>
      <c r="Q25" s="46"/>
      <c r="R25" s="46"/>
      <c r="S25" s="46"/>
      <c r="T25" s="46"/>
      <c r="U25" s="46"/>
      <c r="V25" s="46"/>
      <c r="W25" s="46"/>
      <c r="X25" s="46"/>
    </row>
    <row r="26" spans="2:24">
      <c r="B26" s="32" t="s">
        <v>290</v>
      </c>
      <c r="C26" s="32"/>
      <c r="D26" s="32"/>
      <c r="E26" s="46"/>
      <c r="F26" s="46"/>
      <c r="G26" s="46"/>
      <c r="H26" s="46"/>
      <c r="I26" s="46"/>
      <c r="J26" s="46"/>
      <c r="N26" s="448">
        <v>43437</v>
      </c>
      <c r="O26" s="36">
        <v>326.5</v>
      </c>
      <c r="P26" s="46"/>
      <c r="Q26" s="46"/>
      <c r="R26" s="46"/>
      <c r="S26" s="46"/>
      <c r="T26" s="46"/>
      <c r="U26" s="46"/>
      <c r="V26" s="46"/>
      <c r="W26" s="46"/>
      <c r="X26" s="46"/>
    </row>
    <row r="27" spans="2:24">
      <c r="B27" s="33" t="s">
        <v>76</v>
      </c>
      <c r="C27" s="39"/>
      <c r="D27" s="34"/>
      <c r="E27" s="46"/>
      <c r="F27" s="46"/>
      <c r="G27" s="46"/>
      <c r="H27" s="46"/>
      <c r="I27" s="46"/>
      <c r="J27" s="46"/>
      <c r="N27" s="448">
        <v>43430</v>
      </c>
      <c r="O27" s="36">
        <v>336.5</v>
      </c>
      <c r="P27" s="46"/>
      <c r="Q27" s="46"/>
      <c r="R27" s="46"/>
      <c r="S27" s="46"/>
      <c r="T27" s="46"/>
      <c r="U27" s="46"/>
      <c r="V27" s="46"/>
      <c r="W27" s="46"/>
      <c r="X27" s="46"/>
    </row>
    <row r="28" spans="2:24">
      <c r="B28" s="35" t="s">
        <v>26</v>
      </c>
      <c r="C28" s="47"/>
      <c r="D28" s="36"/>
      <c r="E28" s="46"/>
      <c r="F28" s="46"/>
      <c r="G28" s="46"/>
      <c r="H28" s="46"/>
      <c r="I28" s="46"/>
      <c r="J28" s="46"/>
      <c r="N28" s="448">
        <v>43423</v>
      </c>
      <c r="O28" s="36">
        <v>342.9</v>
      </c>
      <c r="P28" s="46"/>
      <c r="Q28" s="46"/>
      <c r="R28" s="46"/>
      <c r="S28" s="46"/>
      <c r="T28" s="46"/>
      <c r="U28" s="46"/>
      <c r="V28" s="46"/>
      <c r="W28" s="46"/>
      <c r="X28" s="46"/>
    </row>
    <row r="29" spans="2:24">
      <c r="B29" s="37" t="s">
        <v>77</v>
      </c>
      <c r="C29" s="40"/>
      <c r="D29" s="38"/>
      <c r="E29" s="46"/>
      <c r="F29" s="46"/>
      <c r="G29" s="46"/>
      <c r="H29" s="46"/>
      <c r="I29" s="46"/>
      <c r="J29" s="46"/>
      <c r="N29" s="448">
        <v>43416</v>
      </c>
      <c r="O29" s="36">
        <v>346.8</v>
      </c>
      <c r="P29" s="46"/>
      <c r="Q29" s="46"/>
      <c r="R29" s="46"/>
      <c r="S29" s="46"/>
      <c r="T29" s="46"/>
      <c r="U29" s="46"/>
      <c r="V29" s="46"/>
      <c r="W29" s="46"/>
      <c r="X29" s="46"/>
    </row>
    <row r="30" spans="2:24">
      <c r="B30" s="46"/>
      <c r="C30" s="46"/>
      <c r="D30" s="46"/>
      <c r="E30" s="46"/>
      <c r="F30" s="46"/>
      <c r="G30" s="46"/>
      <c r="H30" s="46"/>
      <c r="I30" s="46"/>
      <c r="J30" s="46"/>
      <c r="N30" s="448">
        <v>43409</v>
      </c>
      <c r="O30" s="36">
        <v>347.8</v>
      </c>
      <c r="P30" s="46"/>
      <c r="Q30" s="46"/>
      <c r="R30" s="46"/>
      <c r="S30" s="46"/>
      <c r="T30" s="46"/>
      <c r="U30" s="46"/>
      <c r="V30" s="46"/>
      <c r="W30" s="46"/>
      <c r="X30" s="46"/>
    </row>
    <row r="31" spans="2:24">
      <c r="B31" s="32" t="s">
        <v>51</v>
      </c>
      <c r="C31" s="32"/>
      <c r="D31" s="32"/>
      <c r="E31" s="46"/>
      <c r="F31" s="46"/>
      <c r="G31" s="46"/>
      <c r="H31" s="46"/>
      <c r="I31" s="46"/>
      <c r="J31" s="46"/>
      <c r="N31" s="448">
        <v>43402</v>
      </c>
      <c r="O31" s="36">
        <v>350.7</v>
      </c>
      <c r="P31" s="46"/>
      <c r="Q31" s="46"/>
      <c r="R31" s="46"/>
      <c r="S31" s="46"/>
      <c r="T31" s="46"/>
      <c r="U31" s="46"/>
      <c r="V31" s="46"/>
      <c r="W31" s="46"/>
      <c r="X31" s="46"/>
    </row>
    <row r="32" spans="2:24">
      <c r="B32" s="33">
        <v>0.7</v>
      </c>
      <c r="C32" s="39"/>
      <c r="D32" s="34"/>
      <c r="E32" s="46"/>
      <c r="F32" s="46"/>
      <c r="G32" s="46"/>
      <c r="H32" s="46"/>
      <c r="I32" s="46"/>
      <c r="J32" s="46"/>
      <c r="N32" s="448">
        <v>43395</v>
      </c>
      <c r="O32" s="36">
        <v>351.6</v>
      </c>
      <c r="P32" s="46"/>
      <c r="Q32" s="46"/>
      <c r="R32" s="46"/>
      <c r="S32" s="46"/>
      <c r="T32" s="46"/>
      <c r="U32" s="46"/>
      <c r="V32" s="46"/>
      <c r="W32" s="46"/>
      <c r="X32" s="46"/>
    </row>
    <row r="33" spans="2:26">
      <c r="B33" s="35">
        <v>0.95</v>
      </c>
      <c r="C33" s="47"/>
      <c r="D33" s="36"/>
      <c r="E33" s="46"/>
      <c r="F33" s="46"/>
      <c r="G33" s="46"/>
      <c r="H33" s="46"/>
      <c r="I33" s="46"/>
      <c r="J33" s="46"/>
      <c r="N33" s="448">
        <v>43388</v>
      </c>
      <c r="O33" s="36">
        <v>346.9</v>
      </c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2:26">
      <c r="B34" s="37"/>
      <c r="C34" s="40"/>
      <c r="D34" s="38"/>
      <c r="E34" s="46"/>
      <c r="F34" s="46"/>
      <c r="G34" s="46"/>
      <c r="H34" s="46"/>
      <c r="I34" s="46"/>
      <c r="J34" s="46"/>
      <c r="N34" s="448">
        <v>43381</v>
      </c>
      <c r="O34" s="36">
        <v>348.4</v>
      </c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2:26">
      <c r="B35" s="46"/>
      <c r="C35" s="46"/>
      <c r="D35" s="46"/>
      <c r="E35" s="46"/>
      <c r="F35" s="46"/>
      <c r="G35" s="46"/>
      <c r="H35" s="46"/>
      <c r="I35" s="46"/>
      <c r="J35" s="46"/>
      <c r="N35" s="448">
        <v>43374</v>
      </c>
      <c r="O35" s="36">
        <v>345.9</v>
      </c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2:26">
      <c r="B36" s="32" t="s">
        <v>291</v>
      </c>
      <c r="C36" s="32"/>
      <c r="D36" s="32"/>
      <c r="E36" s="32"/>
      <c r="F36" s="32"/>
      <c r="G36" s="32"/>
      <c r="H36" s="32"/>
      <c r="I36" s="32"/>
      <c r="J36" s="32"/>
      <c r="K36" s="32"/>
      <c r="L36" s="32" t="s">
        <v>293</v>
      </c>
      <c r="N36" s="448">
        <v>43367</v>
      </c>
      <c r="O36" s="36">
        <v>343.7</v>
      </c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2:26" s="46" customFormat="1" ht="15" customHeight="1">
      <c r="B37" s="450" t="str">
        <f>"Note: In the current scenario you are increasing the total cooling amount delivered to the home"</f>
        <v>Note: In the current scenario you are increasing the total cooling amount delivered to the home</v>
      </c>
      <c r="C37" s="451"/>
      <c r="D37" s="451"/>
      <c r="E37" s="451"/>
      <c r="F37" s="451"/>
      <c r="G37" s="451"/>
      <c r="H37" s="39"/>
      <c r="I37" s="39"/>
      <c r="J37" s="39"/>
      <c r="K37" s="39"/>
      <c r="L37" s="465" t="s">
        <v>294</v>
      </c>
      <c r="N37" s="448">
        <v>43360</v>
      </c>
      <c r="O37" s="36">
        <v>336.5</v>
      </c>
    </row>
    <row r="38" spans="2:26">
      <c r="B38" s="444" t="s">
        <v>296</v>
      </c>
      <c r="C38" s="443"/>
      <c r="D38" s="443"/>
      <c r="E38" s="443"/>
      <c r="F38" s="443"/>
      <c r="G38" s="443"/>
      <c r="H38" s="47"/>
      <c r="I38" s="47"/>
      <c r="J38" s="47"/>
      <c r="K38" s="47"/>
      <c r="L38" s="466" t="s">
        <v>295</v>
      </c>
      <c r="N38" s="448">
        <v>43353</v>
      </c>
      <c r="O38" s="36">
        <v>336.2</v>
      </c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2:26">
      <c r="B39" s="37" t="s">
        <v>297</v>
      </c>
      <c r="C39" s="40"/>
      <c r="D39" s="40"/>
      <c r="E39" s="40"/>
      <c r="F39" s="40"/>
      <c r="G39" s="40"/>
      <c r="H39" s="40"/>
      <c r="I39" s="40"/>
      <c r="J39" s="40"/>
      <c r="K39" s="40"/>
      <c r="L39" s="467" t="s">
        <v>303</v>
      </c>
      <c r="N39" s="448">
        <v>43346</v>
      </c>
      <c r="O39" s="36">
        <v>336.3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2:26">
      <c r="B40" s="46"/>
      <c r="C40" s="46"/>
      <c r="D40" s="46"/>
      <c r="E40" s="46"/>
      <c r="F40" s="46"/>
      <c r="G40" s="46"/>
      <c r="H40" s="46"/>
      <c r="I40" s="46"/>
      <c r="J40" s="46"/>
      <c r="N40" s="448">
        <v>43339</v>
      </c>
      <c r="O40" s="36">
        <v>335.2</v>
      </c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2:26">
      <c r="B41" s="46"/>
      <c r="C41" s="46"/>
      <c r="D41" s="46"/>
      <c r="E41" s="46"/>
      <c r="F41" s="46"/>
      <c r="G41" s="46"/>
      <c r="H41" s="46"/>
      <c r="I41" s="46"/>
      <c r="J41" s="46"/>
      <c r="N41" s="448">
        <v>43325</v>
      </c>
      <c r="O41" s="36">
        <v>333.8</v>
      </c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2:26">
      <c r="B42" s="46"/>
      <c r="C42" s="46"/>
      <c r="D42" s="46"/>
      <c r="E42" s="46"/>
      <c r="F42" s="46"/>
      <c r="G42" s="46"/>
      <c r="H42" s="46"/>
      <c r="I42" s="46"/>
      <c r="J42" s="46"/>
      <c r="N42" s="448">
        <v>43311</v>
      </c>
      <c r="O42" s="36">
        <v>335</v>
      </c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2:26">
      <c r="B43" s="46"/>
      <c r="C43" s="46"/>
      <c r="D43" s="46"/>
      <c r="E43" s="46"/>
      <c r="F43" s="46"/>
      <c r="G43" s="46"/>
      <c r="H43" s="46"/>
      <c r="I43" s="46"/>
      <c r="J43" s="46"/>
      <c r="N43" s="448">
        <v>43297</v>
      </c>
      <c r="O43" s="36">
        <v>334.3</v>
      </c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2:26">
      <c r="B44" s="46"/>
      <c r="C44" s="46"/>
      <c r="D44" s="46"/>
      <c r="E44" s="46"/>
      <c r="F44" s="46"/>
      <c r="G44" s="46"/>
      <c r="H44" s="46"/>
      <c r="I44" s="46"/>
      <c r="J44" s="46"/>
      <c r="N44" s="448">
        <v>43276</v>
      </c>
      <c r="O44" s="36">
        <v>337.9</v>
      </c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2:26">
      <c r="B45" s="46"/>
      <c r="C45" s="46"/>
      <c r="D45" s="46"/>
      <c r="E45" s="46"/>
      <c r="F45" s="46"/>
      <c r="G45" s="46"/>
      <c r="H45" s="46"/>
      <c r="I45" s="46"/>
      <c r="J45" s="46"/>
      <c r="N45" s="448">
        <v>43262</v>
      </c>
      <c r="O45" s="36">
        <v>334.9</v>
      </c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2:26">
      <c r="B46" s="46"/>
      <c r="C46" s="46"/>
      <c r="D46" s="46"/>
      <c r="E46" s="46"/>
      <c r="F46" s="46"/>
      <c r="G46" s="46"/>
      <c r="H46" s="46"/>
      <c r="I46" s="46"/>
      <c r="J46" s="46"/>
      <c r="N46" s="448">
        <v>43248</v>
      </c>
      <c r="O46" s="36">
        <v>335.4</v>
      </c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2:26">
      <c r="B47" s="46"/>
      <c r="C47" s="46"/>
      <c r="D47" s="46"/>
      <c r="E47" s="46"/>
      <c r="F47" s="46"/>
      <c r="G47" s="46"/>
      <c r="H47" s="46"/>
      <c r="I47" s="46"/>
      <c r="J47" s="46"/>
      <c r="N47" s="448">
        <v>43234</v>
      </c>
      <c r="O47" s="36">
        <v>339.1</v>
      </c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2:26">
      <c r="B48" s="46"/>
      <c r="C48" s="46"/>
      <c r="D48" s="46"/>
      <c r="E48" s="46"/>
      <c r="F48" s="46"/>
      <c r="G48" s="46"/>
      <c r="H48" s="46"/>
      <c r="I48" s="46"/>
      <c r="J48" s="46"/>
      <c r="N48" s="448">
        <v>43220</v>
      </c>
      <c r="O48" s="36">
        <v>332.3</v>
      </c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1:17">
      <c r="N49" s="448">
        <v>43206</v>
      </c>
      <c r="O49" s="36">
        <v>328.7</v>
      </c>
      <c r="P49" s="46"/>
      <c r="Q49" s="46"/>
    </row>
    <row r="50" spans="11:17">
      <c r="N50" s="448">
        <v>43185</v>
      </c>
      <c r="O50" s="36">
        <v>326.3</v>
      </c>
      <c r="P50" s="46"/>
      <c r="Q50" s="46"/>
    </row>
    <row r="51" spans="11:17">
      <c r="N51" s="448">
        <v>43178</v>
      </c>
      <c r="O51" s="36">
        <v>322.89999999999998</v>
      </c>
      <c r="P51" s="46"/>
      <c r="Q51" s="46"/>
    </row>
    <row r="52" spans="11:17">
      <c r="N52" s="448">
        <v>43171</v>
      </c>
      <c r="O52" s="36">
        <v>320.60000000000002</v>
      </c>
      <c r="P52" s="46"/>
      <c r="Q52" s="46"/>
    </row>
    <row r="53" spans="11:17">
      <c r="N53" s="448">
        <v>43164</v>
      </c>
      <c r="O53" s="36">
        <v>322.2</v>
      </c>
      <c r="P53" s="46"/>
      <c r="Q53" s="46"/>
    </row>
    <row r="54" spans="11:17">
      <c r="N54" s="448">
        <v>43157</v>
      </c>
      <c r="O54" s="36">
        <v>323.60000000000002</v>
      </c>
      <c r="P54" s="46"/>
      <c r="Q54" s="46"/>
    </row>
    <row r="55" spans="11:17">
      <c r="N55" s="448">
        <v>43150</v>
      </c>
      <c r="O55" s="36">
        <v>322.5</v>
      </c>
      <c r="P55" s="46"/>
      <c r="Q55" s="46"/>
    </row>
    <row r="56" spans="11:17">
      <c r="N56" s="448">
        <v>43143</v>
      </c>
      <c r="O56" s="36">
        <v>324.5</v>
      </c>
      <c r="P56" s="46"/>
      <c r="Q56" s="46"/>
    </row>
    <row r="57" spans="11:17">
      <c r="N57" s="448">
        <v>43136</v>
      </c>
      <c r="O57" s="36">
        <v>329.6</v>
      </c>
      <c r="P57" s="46"/>
      <c r="Q57" s="46"/>
    </row>
    <row r="58" spans="11:17">
      <c r="N58" s="449">
        <v>43129</v>
      </c>
      <c r="O58" s="38">
        <v>331.3</v>
      </c>
      <c r="P58" s="46"/>
      <c r="Q58" s="46"/>
    </row>
    <row r="59" spans="11:17">
      <c r="K59" s="46"/>
      <c r="L59" s="46"/>
      <c r="M59" s="46"/>
      <c r="N59" s="46"/>
      <c r="O59" s="46"/>
      <c r="P59" s="46"/>
      <c r="Q59" s="46"/>
    </row>
    <row r="60" spans="11:17">
      <c r="K60" s="46"/>
      <c r="L60" s="46"/>
      <c r="M60" s="46"/>
      <c r="N60" s="46"/>
      <c r="O60" s="46"/>
      <c r="P60" s="46"/>
      <c r="Q60" s="46"/>
    </row>
    <row r="61" spans="11:17">
      <c r="K61" s="46"/>
      <c r="L61" s="46"/>
      <c r="M61" s="46"/>
      <c r="N61" s="46"/>
      <c r="O61" s="46"/>
      <c r="P61" s="46"/>
      <c r="Q61" s="46"/>
    </row>
    <row r="62" spans="11:17">
      <c r="K62" s="46"/>
      <c r="L62" s="46"/>
      <c r="M62" s="46"/>
      <c r="N62" s="46"/>
      <c r="O62" s="46"/>
      <c r="P62" s="46"/>
      <c r="Q62" s="46"/>
    </row>
    <row r="63" spans="11:17">
      <c r="K63" s="46"/>
      <c r="L63" s="46"/>
      <c r="M63" s="46"/>
      <c r="N63" s="46"/>
      <c r="O63" s="46"/>
      <c r="P63" s="46"/>
      <c r="Q63" s="46"/>
    </row>
    <row r="64" spans="11:17">
      <c r="K64" s="46"/>
      <c r="L64" s="46"/>
      <c r="M64" s="46"/>
      <c r="N64" s="46"/>
      <c r="O64" s="46"/>
      <c r="P64" s="46"/>
      <c r="Q64" s="46"/>
    </row>
    <row r="65" spans="16:17">
      <c r="P65" s="46"/>
      <c r="Q65" s="46"/>
    </row>
    <row r="66" spans="16:17">
      <c r="P66" s="46"/>
      <c r="Q66" s="46"/>
    </row>
    <row r="67" spans="16:17">
      <c r="P67" s="46"/>
      <c r="Q67" s="46"/>
    </row>
    <row r="68" spans="16:17">
      <c r="P68" s="46"/>
      <c r="Q68" s="46"/>
    </row>
    <row r="69" spans="16:17">
      <c r="P69" s="46"/>
      <c r="Q69" s="46"/>
    </row>
    <row r="70" spans="16:17">
      <c r="P70" s="46"/>
      <c r="Q70" s="46"/>
    </row>
    <row r="71" spans="16:17">
      <c r="P71" s="46"/>
      <c r="Q71" s="46"/>
    </row>
    <row r="72" spans="16:17">
      <c r="P72" s="46"/>
      <c r="Q72" s="46"/>
    </row>
    <row r="73" spans="16:17">
      <c r="P73" s="46"/>
      <c r="Q73" s="46"/>
    </row>
  </sheetData>
  <hyperlinks>
    <hyperlink ref="N2" r:id="rId1" xr:uid="{78C92771-E125-425F-9420-111C5C957A9B}"/>
  </hyperlinks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152610AEE70841BF99A040788F4C5A" ma:contentTypeVersion="7" ma:contentTypeDescription="Create a new document." ma:contentTypeScope="" ma:versionID="1703f131c01c26300520cac2d7687894">
  <xsd:schema xmlns:xsd="http://www.w3.org/2001/XMLSchema" xmlns:xs="http://www.w3.org/2001/XMLSchema" xmlns:p="http://schemas.microsoft.com/office/2006/metadata/properties" xmlns:ns2="8da1a448-23f0-42e4-95b3-029e0db03b9a" xmlns:ns3="04db353d-ba5f-4f95-8b58-a205f1945af4" targetNamespace="http://schemas.microsoft.com/office/2006/metadata/properties" ma:root="true" ma:fieldsID="29454a7f30b63b50ac12596d11888439" ns2:_="" ns3:_="">
    <xsd:import namespace="8da1a448-23f0-42e4-95b3-029e0db03b9a"/>
    <xsd:import namespace="04db353d-ba5f-4f95-8b58-a205f1945a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a1a448-23f0-42e4-95b3-029e0db03b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b353d-ba5f-4f95-8b58-a205f1945a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02CA55-4E32-499B-B347-3C4269824D51}">
  <ds:schemaRefs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da1a448-23f0-42e4-95b3-029e0db03b9a"/>
    <ds:schemaRef ds:uri="04db353d-ba5f-4f95-8b58-a205f1945af4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8C82E00-1D26-4048-8B80-AE2B5F325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a1a448-23f0-42e4-95b3-029e0db03b9a"/>
    <ds:schemaRef ds:uri="04db353d-ba5f-4f95-8b58-a205f1945a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D44ECF-C01D-4652-9222-9C415B3050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Energy Savings Calculator</vt:lpstr>
      <vt:lpstr>Calculations</vt:lpstr>
      <vt:lpstr>Equations</vt:lpstr>
      <vt:lpstr>Lists &amp; Data</vt:lpstr>
      <vt:lpstr>Calculations!sizea</vt:lpstr>
      <vt:lpstr>Calculations!sizec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Saucedo</dc:creator>
  <cp:keywords/>
  <dc:description/>
  <cp:lastModifiedBy>Jamie Daudon</cp:lastModifiedBy>
  <cp:revision/>
  <dcterms:created xsi:type="dcterms:W3CDTF">2018-12-11T15:06:21Z</dcterms:created>
  <dcterms:modified xsi:type="dcterms:W3CDTF">2019-02-08T23:11:12Z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0x0101000A152610AEE70841BF99A040788F4C5A</vt:lpwstr>
  </property>
</Properties>
</file>