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filterPrivacy="1"/>
  <xr:revisionPtr revIDLastSave="54" documentId="8_{065F325D-4701-400D-A1AC-0FD1CD3D4135}" xr6:coauthVersionLast="44" xr6:coauthVersionMax="45" xr10:uidLastSave="{7D1E4E3B-0549-44C3-B4E8-8150092E202C}"/>
  <bookViews>
    <workbookView xWindow="-120" yWindow="-120" windowWidth="27900" windowHeight="16440" firstSheet="3" activeTab="8" xr2:uid="{3F7B5D65-2E87-406A-A71D-A01824908530}"/>
  </bookViews>
  <sheets>
    <sheet name="CBECS-elec-subtypology" sheetId="10" state="hidden" r:id="rId1"/>
    <sheet name="CBECS-elec-geosubdiv" sheetId="9" state="hidden" r:id="rId2"/>
    <sheet name="CBECS-gas-geosubdiv" sheetId="8" state="hidden" r:id="rId3"/>
    <sheet name="Readme" sheetId="41" r:id="rId4"/>
    <sheet name="City Template" sheetId="66" r:id="rId5"/>
    <sheet name="Seattle" sheetId="54" r:id="rId6"/>
    <sheet name="DC" sheetId="69" r:id="rId7"/>
    <sheet name="Santa Mon" sheetId="70" r:id="rId8"/>
    <sheet name="NYC" sheetId="71" r:id="rId9"/>
    <sheet name="Seattle's Typologies" sheetId="68" r:id="rId10"/>
    <sheet name="REFERENCE TABS----------------&gt;" sheetId="29" r:id="rId11"/>
    <sheet name="Electrification of Gas End Uses" sheetId="4" r:id="rId12"/>
    <sheet name="Typology Baseline - climate adj" sheetId="36" r:id="rId13"/>
    <sheet name="HotelMFOffice Target comp" sheetId="37" state="hidden" r:id="rId14"/>
    <sheet name="MF-New-Tall" sheetId="24" r:id="rId15"/>
    <sheet name="MF-Old-Tall" sheetId="12" state="hidden" r:id="rId16"/>
    <sheet name="Hotel-Dorm-Lodging" sheetId="19" state="hidden" r:id="rId17"/>
    <sheet name="MF-Short" sheetId="23" state="hidden" r:id="rId18"/>
    <sheet name="Office" sheetId="22" state="hidden" r:id="rId19"/>
    <sheet name="CBECS-E4 - elec EUI" sheetId="14" state="hidden" r:id="rId20"/>
    <sheet name="CBECS E7 - gas EUI" sheetId="15" state="hidden" r:id="rId21"/>
    <sheet name="CBECS to EPA map" sheetId="30" state="hidden" r:id="rId22"/>
    <sheet name="RECS Microdata End Uses" sheetId="16" state="hidden" r:id="rId23"/>
    <sheet name="Rough cost estimates-spacehtg" sheetId="28" state="hidden" r:id="rId24"/>
    <sheet name="GHG Coefficient Lookup" sheetId="20" r:id="rId25"/>
    <sheet name="Core City Stats 2" sheetId="25" state="hidden" r:id="rId26"/>
    <sheet name="Core City Stats" sheetId="44" r:id="rId27"/>
    <sheet name="Typology Mapping" sheetId="2" r:id="rId28"/>
    <sheet name="Prev Seattle Targets ref" sheetId="17" state="hidden" r:id="rId29"/>
  </sheets>
  <definedNames>
    <definedName name="_xlnm.Print_Titles" localSheetId="1">'CBECS-elec-geosubdiv'!$2:$5</definedName>
    <definedName name="_xlnm.Print_Titles" localSheetId="0">'CBECS-elec-subtypology'!$2:$6</definedName>
    <definedName name="_xlnm.Print_Titles" localSheetId="2">'CBECS-gas-geosubdiv'!$2:$5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7" i="36" l="1"/>
  <c r="AH60" i="71" l="1"/>
  <c r="AD59" i="71"/>
  <c r="D54" i="71"/>
  <c r="E54" i="71" s="1"/>
  <c r="C54" i="71"/>
  <c r="B54" i="71"/>
  <c r="J30" i="71" s="1"/>
  <c r="Y30" i="71" s="1"/>
  <c r="D53" i="71"/>
  <c r="E53" i="71" s="1"/>
  <c r="C53" i="71"/>
  <c r="B53" i="71"/>
  <c r="J29" i="71" s="1"/>
  <c r="Y29" i="71" s="1"/>
  <c r="D52" i="71"/>
  <c r="E52" i="71" s="1"/>
  <c r="C52" i="71"/>
  <c r="B52" i="71"/>
  <c r="J28" i="71" s="1"/>
  <c r="Y28" i="71" s="1"/>
  <c r="D51" i="71"/>
  <c r="E51" i="71" s="1"/>
  <c r="C51" i="71"/>
  <c r="B51" i="71"/>
  <c r="J27" i="71" s="1"/>
  <c r="Y27" i="71" s="1"/>
  <c r="G50" i="71"/>
  <c r="W50" i="71" s="1"/>
  <c r="D50" i="71"/>
  <c r="E50" i="71" s="1"/>
  <c r="C50" i="71"/>
  <c r="B50" i="71"/>
  <c r="J26" i="71" s="1"/>
  <c r="Y26" i="71" s="1"/>
  <c r="D49" i="71"/>
  <c r="C49" i="71"/>
  <c r="B49" i="71"/>
  <c r="J25" i="71" s="1"/>
  <c r="Y25" i="71" s="1"/>
  <c r="D48" i="71"/>
  <c r="C48" i="71"/>
  <c r="B48" i="71"/>
  <c r="J24" i="71" s="1"/>
  <c r="Y24" i="71" s="1"/>
  <c r="D47" i="71"/>
  <c r="C47" i="71"/>
  <c r="B47" i="71"/>
  <c r="D46" i="71"/>
  <c r="E46" i="71" s="1"/>
  <c r="C46" i="71"/>
  <c r="B46" i="71"/>
  <c r="J22" i="71" s="1"/>
  <c r="Y22" i="71" s="1"/>
  <c r="G45" i="71"/>
  <c r="L21" i="71" s="1"/>
  <c r="D45" i="71"/>
  <c r="E45" i="71" s="1"/>
  <c r="C45" i="71"/>
  <c r="B45" i="71"/>
  <c r="J21" i="71" s="1"/>
  <c r="Y21" i="71" s="1"/>
  <c r="D44" i="71"/>
  <c r="G44" i="71" s="1"/>
  <c r="C44" i="71"/>
  <c r="B44" i="71"/>
  <c r="J20" i="71" s="1"/>
  <c r="Y20" i="71" s="1"/>
  <c r="D43" i="71"/>
  <c r="E43" i="71" s="1"/>
  <c r="C43" i="71"/>
  <c r="B43" i="71"/>
  <c r="J19" i="71" s="1"/>
  <c r="Y19" i="71" s="1"/>
  <c r="D42" i="71"/>
  <c r="G42" i="71" s="1"/>
  <c r="L18" i="71" s="1"/>
  <c r="C42" i="71"/>
  <c r="B42" i="71"/>
  <c r="J18" i="71" s="1"/>
  <c r="Y18" i="71" s="1"/>
  <c r="D41" i="71"/>
  <c r="E41" i="71" s="1"/>
  <c r="C41" i="71"/>
  <c r="B41" i="71"/>
  <c r="J17" i="71" s="1"/>
  <c r="Y17" i="71" s="1"/>
  <c r="D40" i="71"/>
  <c r="G40" i="71" s="1"/>
  <c r="W40" i="71" s="1"/>
  <c r="O16" i="71" s="1"/>
  <c r="C40" i="71"/>
  <c r="B40" i="71"/>
  <c r="J16" i="71" s="1"/>
  <c r="Y16" i="71" s="1"/>
  <c r="D39" i="71"/>
  <c r="G39" i="71" s="1"/>
  <c r="W39" i="71" s="1"/>
  <c r="O15" i="71" s="1"/>
  <c r="C39" i="71"/>
  <c r="B39" i="71"/>
  <c r="J15" i="71" s="1"/>
  <c r="Y15" i="71" s="1"/>
  <c r="N38" i="71"/>
  <c r="T38" i="71" s="1"/>
  <c r="AG38" i="71" s="1"/>
  <c r="D38" i="71"/>
  <c r="E38" i="71" s="1"/>
  <c r="C38" i="71"/>
  <c r="N37" i="71"/>
  <c r="T37" i="71" s="1"/>
  <c r="AG37" i="71" s="1"/>
  <c r="D37" i="71"/>
  <c r="E37" i="71" s="1"/>
  <c r="C37" i="71"/>
  <c r="N36" i="71"/>
  <c r="T36" i="71" s="1"/>
  <c r="AG36" i="71" s="1"/>
  <c r="D36" i="71"/>
  <c r="G36" i="71" s="1"/>
  <c r="C36" i="71"/>
  <c r="AG35" i="71"/>
  <c r="AF35" i="71"/>
  <c r="AE35" i="71"/>
  <c r="B34" i="71"/>
  <c r="J23" i="71"/>
  <c r="Y23" i="71" s="1"/>
  <c r="J14" i="71"/>
  <c r="Y14" i="71" s="1"/>
  <c r="J13" i="71"/>
  <c r="Y13" i="71" s="1"/>
  <c r="J12" i="71"/>
  <c r="Y12" i="71" s="1"/>
  <c r="J11" i="71"/>
  <c r="Y10" i="71"/>
  <c r="Z6" i="71"/>
  <c r="Z3" i="71"/>
  <c r="AH60" i="70"/>
  <c r="AD59" i="70"/>
  <c r="D54" i="70"/>
  <c r="E54" i="70" s="1"/>
  <c r="C54" i="70"/>
  <c r="B54" i="70"/>
  <c r="J30" i="70" s="1"/>
  <c r="Y30" i="70" s="1"/>
  <c r="D53" i="70"/>
  <c r="E53" i="70" s="1"/>
  <c r="C53" i="70"/>
  <c r="B53" i="70"/>
  <c r="J29" i="70" s="1"/>
  <c r="Y29" i="70" s="1"/>
  <c r="D52" i="70"/>
  <c r="E52" i="70" s="1"/>
  <c r="C52" i="70"/>
  <c r="B52" i="70"/>
  <c r="J28" i="70" s="1"/>
  <c r="Y28" i="70" s="1"/>
  <c r="D51" i="70"/>
  <c r="E51" i="70" s="1"/>
  <c r="C51" i="70"/>
  <c r="B51" i="70"/>
  <c r="J27" i="70" s="1"/>
  <c r="Y27" i="70" s="1"/>
  <c r="D50" i="70"/>
  <c r="E50" i="70" s="1"/>
  <c r="C50" i="70"/>
  <c r="B50" i="70"/>
  <c r="J26" i="70" s="1"/>
  <c r="Y26" i="70" s="1"/>
  <c r="D49" i="70"/>
  <c r="E49" i="70" s="1"/>
  <c r="C49" i="70"/>
  <c r="B49" i="70"/>
  <c r="J25" i="70" s="1"/>
  <c r="Y25" i="70" s="1"/>
  <c r="D48" i="70"/>
  <c r="E48" i="70" s="1"/>
  <c r="C48" i="70"/>
  <c r="B48" i="70"/>
  <c r="J24" i="70" s="1"/>
  <c r="Y24" i="70" s="1"/>
  <c r="D47" i="70"/>
  <c r="E47" i="70" s="1"/>
  <c r="C47" i="70"/>
  <c r="B47" i="70"/>
  <c r="J23" i="70" s="1"/>
  <c r="Y23" i="70" s="1"/>
  <c r="D46" i="70"/>
  <c r="C46" i="70"/>
  <c r="B46" i="70"/>
  <c r="J22" i="70" s="1"/>
  <c r="Y22" i="70" s="1"/>
  <c r="D45" i="70"/>
  <c r="E45" i="70" s="1"/>
  <c r="C45" i="70"/>
  <c r="B45" i="70"/>
  <c r="J21" i="70" s="1"/>
  <c r="Y21" i="70" s="1"/>
  <c r="D44" i="70"/>
  <c r="E44" i="70" s="1"/>
  <c r="C44" i="70"/>
  <c r="B44" i="70"/>
  <c r="J20" i="70" s="1"/>
  <c r="Y20" i="70" s="1"/>
  <c r="D43" i="70"/>
  <c r="E43" i="70" s="1"/>
  <c r="C43" i="70"/>
  <c r="B43" i="70"/>
  <c r="J19" i="70" s="1"/>
  <c r="Y19" i="70" s="1"/>
  <c r="D42" i="70"/>
  <c r="E42" i="70" s="1"/>
  <c r="C42" i="70"/>
  <c r="B42" i="70"/>
  <c r="J18" i="70" s="1"/>
  <c r="Y18" i="70" s="1"/>
  <c r="D41" i="70"/>
  <c r="E41" i="70" s="1"/>
  <c r="C41" i="70"/>
  <c r="B41" i="70"/>
  <c r="J17" i="70" s="1"/>
  <c r="Y17" i="70" s="1"/>
  <c r="D40" i="70"/>
  <c r="E40" i="70" s="1"/>
  <c r="C40" i="70"/>
  <c r="B40" i="70"/>
  <c r="J16" i="70" s="1"/>
  <c r="Y16" i="70" s="1"/>
  <c r="D39" i="70"/>
  <c r="C39" i="70"/>
  <c r="B39" i="70"/>
  <c r="J15" i="70" s="1"/>
  <c r="Y15" i="70" s="1"/>
  <c r="N38" i="70"/>
  <c r="T38" i="70" s="1"/>
  <c r="AG38" i="70" s="1"/>
  <c r="D38" i="70"/>
  <c r="C38" i="70"/>
  <c r="N37" i="70"/>
  <c r="T37" i="70" s="1"/>
  <c r="AG37" i="70" s="1"/>
  <c r="D37" i="70"/>
  <c r="E37" i="70" s="1"/>
  <c r="C37" i="70"/>
  <c r="N36" i="70"/>
  <c r="T36" i="70" s="1"/>
  <c r="AG36" i="70" s="1"/>
  <c r="D36" i="70"/>
  <c r="E36" i="70" s="1"/>
  <c r="C36" i="70"/>
  <c r="AG35" i="70"/>
  <c r="AF35" i="70"/>
  <c r="AE35" i="70"/>
  <c r="B34" i="70"/>
  <c r="J14" i="70"/>
  <c r="Y14" i="70" s="1"/>
  <c r="J13" i="70"/>
  <c r="Y13" i="70" s="1"/>
  <c r="J12" i="70"/>
  <c r="Y12" i="70" s="1"/>
  <c r="J11" i="70"/>
  <c r="Y10" i="70"/>
  <c r="Z6" i="70"/>
  <c r="Z3" i="70"/>
  <c r="AH60" i="69"/>
  <c r="AD59" i="69"/>
  <c r="D54" i="69"/>
  <c r="E54" i="69" s="1"/>
  <c r="C54" i="69"/>
  <c r="B54" i="69"/>
  <c r="J30" i="69" s="1"/>
  <c r="Y30" i="69" s="1"/>
  <c r="D53" i="69"/>
  <c r="E53" i="69" s="1"/>
  <c r="C53" i="69"/>
  <c r="B53" i="69"/>
  <c r="J29" i="69" s="1"/>
  <c r="Y29" i="69" s="1"/>
  <c r="D52" i="69"/>
  <c r="E52" i="69" s="1"/>
  <c r="C52" i="69"/>
  <c r="B52" i="69"/>
  <c r="J28" i="69" s="1"/>
  <c r="Y28" i="69" s="1"/>
  <c r="D51" i="69"/>
  <c r="C51" i="69"/>
  <c r="B51" i="69"/>
  <c r="J27" i="69" s="1"/>
  <c r="Y27" i="69" s="1"/>
  <c r="D50" i="69"/>
  <c r="E50" i="69" s="1"/>
  <c r="C50" i="69"/>
  <c r="B50" i="69"/>
  <c r="J26" i="69" s="1"/>
  <c r="Y26" i="69" s="1"/>
  <c r="D49" i="69"/>
  <c r="E49" i="69" s="1"/>
  <c r="C49" i="69"/>
  <c r="B49" i="69"/>
  <c r="J25" i="69" s="1"/>
  <c r="Y25" i="69" s="1"/>
  <c r="D48" i="69"/>
  <c r="E48" i="69" s="1"/>
  <c r="C48" i="69"/>
  <c r="B48" i="69"/>
  <c r="J24" i="69" s="1"/>
  <c r="Y24" i="69" s="1"/>
  <c r="D47" i="69"/>
  <c r="E47" i="69" s="1"/>
  <c r="C47" i="69"/>
  <c r="B47" i="69"/>
  <c r="J23" i="69" s="1"/>
  <c r="Y23" i="69" s="1"/>
  <c r="D46" i="69"/>
  <c r="C46" i="69"/>
  <c r="B46" i="69"/>
  <c r="J22" i="69" s="1"/>
  <c r="Y22" i="69" s="1"/>
  <c r="D45" i="69"/>
  <c r="C45" i="69"/>
  <c r="B45" i="69"/>
  <c r="J21" i="69" s="1"/>
  <c r="Y21" i="69" s="1"/>
  <c r="D44" i="69"/>
  <c r="E44" i="69" s="1"/>
  <c r="C44" i="69"/>
  <c r="B44" i="69"/>
  <c r="J20" i="69" s="1"/>
  <c r="Y20" i="69" s="1"/>
  <c r="D43" i="69"/>
  <c r="C43" i="69"/>
  <c r="B43" i="69"/>
  <c r="J19" i="69" s="1"/>
  <c r="Y19" i="69" s="1"/>
  <c r="D42" i="69"/>
  <c r="E42" i="69" s="1"/>
  <c r="C42" i="69"/>
  <c r="B42" i="69"/>
  <c r="J18" i="69" s="1"/>
  <c r="Y18" i="69" s="1"/>
  <c r="D41" i="69"/>
  <c r="E41" i="69" s="1"/>
  <c r="C41" i="69"/>
  <c r="B41" i="69"/>
  <c r="J17" i="69" s="1"/>
  <c r="Y17" i="69" s="1"/>
  <c r="D40" i="69"/>
  <c r="E40" i="69" s="1"/>
  <c r="C40" i="69"/>
  <c r="B40" i="69"/>
  <c r="J16" i="69" s="1"/>
  <c r="Y16" i="69" s="1"/>
  <c r="D39" i="69"/>
  <c r="C39" i="69"/>
  <c r="B39" i="69"/>
  <c r="J15" i="69" s="1"/>
  <c r="Y15" i="69" s="1"/>
  <c r="N38" i="69"/>
  <c r="T38" i="69" s="1"/>
  <c r="AG38" i="69" s="1"/>
  <c r="D38" i="69"/>
  <c r="E38" i="69" s="1"/>
  <c r="C38" i="69"/>
  <c r="N37" i="69"/>
  <c r="T37" i="69" s="1"/>
  <c r="AG37" i="69" s="1"/>
  <c r="D37" i="69"/>
  <c r="E37" i="69" s="1"/>
  <c r="C37" i="69"/>
  <c r="N36" i="69"/>
  <c r="T36" i="69" s="1"/>
  <c r="AG36" i="69" s="1"/>
  <c r="D36" i="69"/>
  <c r="G36" i="69" s="1"/>
  <c r="W36" i="69" s="1"/>
  <c r="AA36" i="69" s="1"/>
  <c r="C36" i="69"/>
  <c r="AG35" i="69"/>
  <c r="AF35" i="69"/>
  <c r="AE35" i="69"/>
  <c r="B34" i="69"/>
  <c r="J14" i="69"/>
  <c r="Y14" i="69" s="1"/>
  <c r="J13" i="69"/>
  <c r="Y13" i="69" s="1"/>
  <c r="J12" i="69"/>
  <c r="Y12" i="69" s="1"/>
  <c r="J11" i="69"/>
  <c r="Y10" i="69"/>
  <c r="Z6" i="69"/>
  <c r="Z3" i="69"/>
  <c r="G37" i="68"/>
  <c r="H37" i="68"/>
  <c r="G38" i="68"/>
  <c r="H38" i="68"/>
  <c r="G39" i="68"/>
  <c r="H39" i="68"/>
  <c r="G40" i="68"/>
  <c r="H40" i="68"/>
  <c r="G41" i="68"/>
  <c r="H41" i="68"/>
  <c r="G42" i="68"/>
  <c r="H42" i="68"/>
  <c r="G43" i="68"/>
  <c r="H43" i="68"/>
  <c r="G44" i="68"/>
  <c r="H44" i="68"/>
  <c r="G45" i="68"/>
  <c r="H45" i="68"/>
  <c r="G46" i="68"/>
  <c r="H46" i="68"/>
  <c r="G47" i="68"/>
  <c r="H47" i="68"/>
  <c r="G48" i="68"/>
  <c r="H48" i="68"/>
  <c r="G49" i="68"/>
  <c r="H49" i="68"/>
  <c r="G36" i="68"/>
  <c r="H36" i="68"/>
  <c r="T38" i="68"/>
  <c r="AG38" i="68" s="1"/>
  <c r="S43" i="68"/>
  <c r="AF43" i="68" s="1"/>
  <c r="T43" i="68"/>
  <c r="AG43" i="68" s="1"/>
  <c r="S44" i="68"/>
  <c r="AF44" i="68" s="1"/>
  <c r="S47" i="68"/>
  <c r="AF47" i="68" s="1"/>
  <c r="S48" i="68"/>
  <c r="AF48" i="68" s="1"/>
  <c r="T48" i="68"/>
  <c r="AG48" i="68" s="1"/>
  <c r="T51" i="68"/>
  <c r="AG51" i="68" s="1"/>
  <c r="S52" i="68"/>
  <c r="AF52" i="68" s="1"/>
  <c r="L30" i="68"/>
  <c r="AH60" i="68"/>
  <c r="AD59" i="68"/>
  <c r="T54" i="68"/>
  <c r="AG54" i="68" s="1"/>
  <c r="S54" i="68"/>
  <c r="AF54" i="68" s="1"/>
  <c r="D54" i="68"/>
  <c r="E54" i="68" s="1"/>
  <c r="C54" i="68"/>
  <c r="S53" i="68"/>
  <c r="AF53" i="68" s="1"/>
  <c r="D53" i="68"/>
  <c r="E53" i="68" s="1"/>
  <c r="C53" i="68"/>
  <c r="T52" i="68"/>
  <c r="AG52" i="68" s="1"/>
  <c r="D52" i="68"/>
  <c r="E52" i="68" s="1"/>
  <c r="C52" i="68"/>
  <c r="D51" i="68"/>
  <c r="E51" i="68" s="1"/>
  <c r="C51" i="68"/>
  <c r="T50" i="68"/>
  <c r="AG50" i="68" s="1"/>
  <c r="D50" i="68"/>
  <c r="C50" i="68"/>
  <c r="D49" i="68"/>
  <c r="E49" i="68" s="1"/>
  <c r="C49" i="68"/>
  <c r="D48" i="68"/>
  <c r="E48" i="68" s="1"/>
  <c r="C48" i="68"/>
  <c r="D47" i="68"/>
  <c r="E47" i="68" s="1"/>
  <c r="C47" i="68"/>
  <c r="T46" i="68"/>
  <c r="AG46" i="68" s="1"/>
  <c r="D46" i="68"/>
  <c r="E46" i="68" s="1"/>
  <c r="C46" i="68"/>
  <c r="D45" i="68"/>
  <c r="E45" i="68" s="1"/>
  <c r="C45" i="68"/>
  <c r="E44" i="68"/>
  <c r="D44" i="68"/>
  <c r="C44" i="68"/>
  <c r="E43" i="68"/>
  <c r="D43" i="68"/>
  <c r="C43" i="68"/>
  <c r="D42" i="68"/>
  <c r="E42" i="68" s="1"/>
  <c r="C42" i="68"/>
  <c r="T41" i="68"/>
  <c r="AG41" i="68" s="1"/>
  <c r="D41" i="68"/>
  <c r="E41" i="68" s="1"/>
  <c r="C41" i="68"/>
  <c r="T40" i="68"/>
  <c r="AG40" i="68" s="1"/>
  <c r="D40" i="68"/>
  <c r="C40" i="68"/>
  <c r="D39" i="68"/>
  <c r="C39" i="68"/>
  <c r="D38" i="68"/>
  <c r="L14" i="68" s="1"/>
  <c r="C38" i="68"/>
  <c r="T37" i="68"/>
  <c r="AG37" i="68" s="1"/>
  <c r="D37" i="68"/>
  <c r="E37" i="68" s="1"/>
  <c r="C37" i="68"/>
  <c r="T36" i="68"/>
  <c r="AG36" i="68" s="1"/>
  <c r="D36" i="68"/>
  <c r="E36" i="68" s="1"/>
  <c r="C36" i="68"/>
  <c r="AG35" i="68"/>
  <c r="AF35" i="68"/>
  <c r="AE35" i="68"/>
  <c r="B34" i="68"/>
  <c r="J30" i="68"/>
  <c r="Y30" i="68" s="1"/>
  <c r="J29" i="68"/>
  <c r="Y29" i="68" s="1"/>
  <c r="J28" i="68"/>
  <c r="Y28" i="68" s="1"/>
  <c r="J27" i="68"/>
  <c r="Y27" i="68" s="1"/>
  <c r="J26" i="68"/>
  <c r="Y26" i="68" s="1"/>
  <c r="J25" i="68"/>
  <c r="Y25" i="68" s="1"/>
  <c r="J24" i="68"/>
  <c r="Y24" i="68" s="1"/>
  <c r="J23" i="68"/>
  <c r="Y23" i="68" s="1"/>
  <c r="J22" i="68"/>
  <c r="Y22" i="68" s="1"/>
  <c r="Y21" i="68"/>
  <c r="J21" i="68"/>
  <c r="J20" i="68"/>
  <c r="Y20" i="68" s="1"/>
  <c r="Y19" i="68"/>
  <c r="J19" i="68"/>
  <c r="J18" i="68"/>
  <c r="Y18" i="68" s="1"/>
  <c r="J17" i="68"/>
  <c r="Y17" i="68" s="1"/>
  <c r="J16" i="68"/>
  <c r="Y16" i="68" s="1"/>
  <c r="J15" i="68"/>
  <c r="Y15" i="68" s="1"/>
  <c r="J14" i="68"/>
  <c r="Y14" i="68" s="1"/>
  <c r="J13" i="68"/>
  <c r="Y13" i="68" s="1"/>
  <c r="J12" i="68"/>
  <c r="Y12" i="68" s="1"/>
  <c r="J11" i="68"/>
  <c r="Y10" i="68"/>
  <c r="Z6" i="68"/>
  <c r="Z3" i="68"/>
  <c r="AH60" i="54"/>
  <c r="AD59" i="54"/>
  <c r="D54" i="54"/>
  <c r="E54" i="54" s="1"/>
  <c r="C54" i="54"/>
  <c r="B54" i="54"/>
  <c r="J30" i="54" s="1"/>
  <c r="Y30" i="54" s="1"/>
  <c r="D53" i="54"/>
  <c r="H53" i="54" s="1"/>
  <c r="K29" i="54" s="1"/>
  <c r="C53" i="54"/>
  <c r="B53" i="54"/>
  <c r="J29" i="54" s="1"/>
  <c r="Y29" i="54" s="1"/>
  <c r="D52" i="54"/>
  <c r="H52" i="54" s="1"/>
  <c r="K28" i="54" s="1"/>
  <c r="C52" i="54"/>
  <c r="B52" i="54"/>
  <c r="J28" i="54" s="1"/>
  <c r="Y28" i="54" s="1"/>
  <c r="E51" i="54"/>
  <c r="D51" i="54"/>
  <c r="H51" i="54" s="1"/>
  <c r="K27" i="54" s="1"/>
  <c r="C51" i="54"/>
  <c r="B51" i="54"/>
  <c r="J27" i="54" s="1"/>
  <c r="Y27" i="54" s="1"/>
  <c r="D50" i="54"/>
  <c r="C50" i="54"/>
  <c r="B50" i="54"/>
  <c r="J26" i="54" s="1"/>
  <c r="Y26" i="54" s="1"/>
  <c r="D49" i="54"/>
  <c r="H49" i="54" s="1"/>
  <c r="K25" i="54" s="1"/>
  <c r="C49" i="54"/>
  <c r="B49" i="54"/>
  <c r="J25" i="54" s="1"/>
  <c r="Y25" i="54" s="1"/>
  <c r="D48" i="54"/>
  <c r="H48" i="54" s="1"/>
  <c r="K24" i="54" s="1"/>
  <c r="C48" i="54"/>
  <c r="B48" i="54"/>
  <c r="J24" i="54" s="1"/>
  <c r="Y24" i="54" s="1"/>
  <c r="D47" i="54"/>
  <c r="H47" i="54" s="1"/>
  <c r="K23" i="54" s="1"/>
  <c r="C47" i="54"/>
  <c r="B47" i="54"/>
  <c r="J23" i="54" s="1"/>
  <c r="Y23" i="54" s="1"/>
  <c r="D46" i="54"/>
  <c r="H46" i="54" s="1"/>
  <c r="K22" i="54" s="1"/>
  <c r="C46" i="54"/>
  <c r="B46" i="54"/>
  <c r="J22" i="54" s="1"/>
  <c r="Y22" i="54" s="1"/>
  <c r="D45" i="54"/>
  <c r="H45" i="54" s="1"/>
  <c r="K21" i="54" s="1"/>
  <c r="C45" i="54"/>
  <c r="B45" i="54"/>
  <c r="J21" i="54" s="1"/>
  <c r="Y21" i="54" s="1"/>
  <c r="D44" i="54"/>
  <c r="H44" i="54" s="1"/>
  <c r="K20" i="54" s="1"/>
  <c r="C44" i="54"/>
  <c r="B44" i="54"/>
  <c r="J20" i="54" s="1"/>
  <c r="Y20" i="54" s="1"/>
  <c r="D43" i="54"/>
  <c r="H43" i="54" s="1"/>
  <c r="C43" i="54"/>
  <c r="B43" i="54"/>
  <c r="J19" i="54" s="1"/>
  <c r="Y19" i="54" s="1"/>
  <c r="D42" i="54"/>
  <c r="C42" i="54"/>
  <c r="B42" i="54"/>
  <c r="J18" i="54" s="1"/>
  <c r="Y18" i="54" s="1"/>
  <c r="D41" i="54"/>
  <c r="H41" i="54" s="1"/>
  <c r="C41" i="54"/>
  <c r="B41" i="54"/>
  <c r="J17" i="54" s="1"/>
  <c r="Y17" i="54" s="1"/>
  <c r="D40" i="54"/>
  <c r="H40" i="54" s="1"/>
  <c r="K16" i="54" s="1"/>
  <c r="C40" i="54"/>
  <c r="B40" i="54"/>
  <c r="J16" i="54" s="1"/>
  <c r="Y16" i="54" s="1"/>
  <c r="D39" i="54"/>
  <c r="H39" i="54" s="1"/>
  <c r="K15" i="54" s="1"/>
  <c r="C39" i="54"/>
  <c r="B39" i="54"/>
  <c r="J15" i="54" s="1"/>
  <c r="Y15" i="54" s="1"/>
  <c r="N38" i="54"/>
  <c r="T38" i="54" s="1"/>
  <c r="AG38" i="54" s="1"/>
  <c r="D38" i="54"/>
  <c r="H38" i="54" s="1"/>
  <c r="K14" i="54" s="1"/>
  <c r="C38" i="54"/>
  <c r="N37" i="54"/>
  <c r="T37" i="54" s="1"/>
  <c r="AG37" i="54" s="1"/>
  <c r="D37" i="54"/>
  <c r="H37" i="54" s="1"/>
  <c r="C37" i="54"/>
  <c r="N36" i="54"/>
  <c r="T36" i="54" s="1"/>
  <c r="AG36" i="54" s="1"/>
  <c r="D36" i="54"/>
  <c r="H36" i="54" s="1"/>
  <c r="K12" i="54" s="1"/>
  <c r="C36" i="54"/>
  <c r="AG35" i="54"/>
  <c r="AF35" i="54"/>
  <c r="AE35" i="54"/>
  <c r="B34" i="54"/>
  <c r="J14" i="54"/>
  <c r="Y14" i="54" s="1"/>
  <c r="J13" i="54"/>
  <c r="Y13" i="54" s="1"/>
  <c r="J12" i="54"/>
  <c r="Y12" i="54" s="1"/>
  <c r="J11" i="54"/>
  <c r="Y10" i="54"/>
  <c r="Z6" i="54"/>
  <c r="Z3" i="54"/>
  <c r="D37" i="66"/>
  <c r="D38" i="66"/>
  <c r="D39" i="66"/>
  <c r="D40" i="66"/>
  <c r="D41" i="66"/>
  <c r="D42" i="66"/>
  <c r="D43" i="66"/>
  <c r="D44" i="66"/>
  <c r="D45" i="66"/>
  <c r="D46" i="66"/>
  <c r="D47" i="66"/>
  <c r="D48" i="66"/>
  <c r="D49" i="66"/>
  <c r="D50" i="66"/>
  <c r="D51" i="66"/>
  <c r="D52" i="66"/>
  <c r="D53" i="66"/>
  <c r="D54" i="66"/>
  <c r="D36" i="66"/>
  <c r="C36" i="66"/>
  <c r="E38" i="66"/>
  <c r="E39" i="66"/>
  <c r="C37" i="66"/>
  <c r="C38" i="66"/>
  <c r="C39" i="66"/>
  <c r="C40" i="66"/>
  <c r="C41" i="66"/>
  <c r="C42" i="66"/>
  <c r="C43" i="66"/>
  <c r="C44" i="66"/>
  <c r="C45" i="66"/>
  <c r="C46" i="66"/>
  <c r="C47" i="66"/>
  <c r="C48" i="66"/>
  <c r="C49" i="66"/>
  <c r="C50" i="66"/>
  <c r="C51" i="66"/>
  <c r="C52" i="66"/>
  <c r="C53" i="66"/>
  <c r="C54" i="66"/>
  <c r="AD59" i="66"/>
  <c r="AH60" i="66"/>
  <c r="E47" i="54" l="1"/>
  <c r="G48" i="69"/>
  <c r="W48" i="69" s="1"/>
  <c r="AA48" i="69" s="1"/>
  <c r="G51" i="71"/>
  <c r="L27" i="71" s="1"/>
  <c r="G38" i="71"/>
  <c r="L14" i="71" s="1"/>
  <c r="G43" i="71"/>
  <c r="L19" i="71" s="1"/>
  <c r="E39" i="71"/>
  <c r="E40" i="71"/>
  <c r="E44" i="71"/>
  <c r="E36" i="71"/>
  <c r="G37" i="71"/>
  <c r="E38" i="54"/>
  <c r="E40" i="54"/>
  <c r="E44" i="54"/>
  <c r="G46" i="54"/>
  <c r="G37" i="69"/>
  <c r="W37" i="69" s="1"/>
  <c r="O13" i="69" s="1"/>
  <c r="E36" i="69"/>
  <c r="L15" i="71"/>
  <c r="L20" i="71"/>
  <c r="W36" i="71"/>
  <c r="AA36" i="71" s="1"/>
  <c r="L12" i="71"/>
  <c r="L16" i="71"/>
  <c r="L26" i="71"/>
  <c r="E42" i="71"/>
  <c r="H51" i="71"/>
  <c r="H45" i="71"/>
  <c r="F45" i="71" s="1"/>
  <c r="M21" i="71" s="1"/>
  <c r="AK21" i="71" s="1"/>
  <c r="H53" i="71"/>
  <c r="H52" i="71"/>
  <c r="H46" i="71"/>
  <c r="W45" i="71"/>
  <c r="AA50" i="71"/>
  <c r="O26" i="71"/>
  <c r="H36" i="71"/>
  <c r="H38" i="71"/>
  <c r="AA39" i="71"/>
  <c r="AA40" i="71"/>
  <c r="W42" i="71"/>
  <c r="H44" i="71"/>
  <c r="E47" i="71"/>
  <c r="H47" i="71"/>
  <c r="G47" i="71"/>
  <c r="E49" i="71"/>
  <c r="H49" i="71"/>
  <c r="G49" i="71"/>
  <c r="H37" i="71"/>
  <c r="H39" i="71"/>
  <c r="H40" i="71"/>
  <c r="H42" i="71"/>
  <c r="H43" i="71"/>
  <c r="E48" i="71"/>
  <c r="H48" i="71"/>
  <c r="G48" i="71"/>
  <c r="W44" i="71"/>
  <c r="H50" i="71"/>
  <c r="G46" i="71"/>
  <c r="G52" i="71"/>
  <c r="G53" i="71"/>
  <c r="E39" i="70"/>
  <c r="E38" i="70"/>
  <c r="E46" i="70"/>
  <c r="L12" i="69"/>
  <c r="O12" i="69"/>
  <c r="G53" i="69"/>
  <c r="G47" i="69"/>
  <c r="G49" i="69"/>
  <c r="L25" i="69" s="1"/>
  <c r="G50" i="69"/>
  <c r="L26" i="69" s="1"/>
  <c r="E43" i="69"/>
  <c r="H43" i="69"/>
  <c r="G43" i="69"/>
  <c r="H38" i="69"/>
  <c r="E39" i="69"/>
  <c r="H39" i="69"/>
  <c r="G39" i="69"/>
  <c r="E46" i="69"/>
  <c r="H50" i="69"/>
  <c r="E45" i="69"/>
  <c r="E51" i="69"/>
  <c r="G51" i="69"/>
  <c r="H36" i="69"/>
  <c r="H37" i="69"/>
  <c r="G40" i="69"/>
  <c r="G44" i="69"/>
  <c r="H51" i="69"/>
  <c r="G38" i="69"/>
  <c r="H40" i="69"/>
  <c r="H44" i="69"/>
  <c r="H47" i="69"/>
  <c r="H48" i="69"/>
  <c r="H49" i="69"/>
  <c r="H53" i="69"/>
  <c r="L18" i="68"/>
  <c r="AH39" i="68"/>
  <c r="L15" i="68"/>
  <c r="AH37" i="68"/>
  <c r="L13" i="68"/>
  <c r="W43" i="68"/>
  <c r="O19" i="68" s="1"/>
  <c r="L19" i="68"/>
  <c r="L16" i="68"/>
  <c r="L17" i="68"/>
  <c r="W41" i="68"/>
  <c r="F49" i="68"/>
  <c r="M25" i="68" s="1"/>
  <c r="AK25" i="68" s="1"/>
  <c r="F43" i="68"/>
  <c r="M19" i="68" s="1"/>
  <c r="AK19" i="68" s="1"/>
  <c r="R37" i="68"/>
  <c r="AE37" i="68" s="1"/>
  <c r="S36" i="68"/>
  <c r="AF36" i="68" s="1"/>
  <c r="T44" i="68"/>
  <c r="AG44" i="68" s="1"/>
  <c r="F42" i="68"/>
  <c r="F38" i="68"/>
  <c r="M14" i="68" s="1"/>
  <c r="AK14" i="68" s="1"/>
  <c r="K17" i="68"/>
  <c r="AH54" i="68"/>
  <c r="F45" i="68"/>
  <c r="AH42" i="68"/>
  <c r="F41" i="68"/>
  <c r="M17" i="68" s="1"/>
  <c r="AK17" i="68" s="1"/>
  <c r="AH38" i="68"/>
  <c r="F37" i="68"/>
  <c r="M13" i="68" s="1"/>
  <c r="AK13" i="68" s="1"/>
  <c r="K25" i="68"/>
  <c r="AH40" i="68"/>
  <c r="AP37" i="68"/>
  <c r="AI37" i="68" s="1"/>
  <c r="AQ37" i="68" s="1"/>
  <c r="R41" i="68"/>
  <c r="AE41" i="68" s="1"/>
  <c r="R44" i="68"/>
  <c r="AE44" i="68" s="1"/>
  <c r="W38" i="68"/>
  <c r="W39" i="68"/>
  <c r="W37" i="68"/>
  <c r="E38" i="68"/>
  <c r="E39" i="68"/>
  <c r="E40" i="68"/>
  <c r="W40" i="68"/>
  <c r="AH41" i="68"/>
  <c r="M18" i="68"/>
  <c r="AK18" i="68" s="1"/>
  <c r="W42" i="68"/>
  <c r="AH43" i="68"/>
  <c r="E50" i="68"/>
  <c r="W54" i="68"/>
  <c r="W47" i="68"/>
  <c r="K17" i="54"/>
  <c r="E36" i="54"/>
  <c r="E39" i="54"/>
  <c r="E41" i="54"/>
  <c r="E43" i="54"/>
  <c r="E45" i="54"/>
  <c r="E48" i="54"/>
  <c r="E49" i="54"/>
  <c r="E52" i="54"/>
  <c r="G36" i="54"/>
  <c r="L12" i="54" s="1"/>
  <c r="G39" i="54"/>
  <c r="L15" i="54" s="1"/>
  <c r="G41" i="54"/>
  <c r="L17" i="54" s="1"/>
  <c r="G48" i="54"/>
  <c r="F48" i="54" s="1"/>
  <c r="M24" i="54" s="1"/>
  <c r="AK24" i="54" s="1"/>
  <c r="G49" i="54"/>
  <c r="K19" i="54"/>
  <c r="G43" i="54"/>
  <c r="L19" i="54" s="1"/>
  <c r="G45" i="54"/>
  <c r="G38" i="54"/>
  <c r="W38" i="54" s="1"/>
  <c r="G40" i="54"/>
  <c r="W40" i="54" s="1"/>
  <c r="E42" i="54"/>
  <c r="G44" i="54"/>
  <c r="L20" i="54" s="1"/>
  <c r="E46" i="54"/>
  <c r="G47" i="54"/>
  <c r="W47" i="54" s="1"/>
  <c r="E50" i="54"/>
  <c r="G51" i="54"/>
  <c r="F51" i="54" s="1"/>
  <c r="M27" i="54" s="1"/>
  <c r="AK27" i="54" s="1"/>
  <c r="E53" i="54"/>
  <c r="K13" i="54"/>
  <c r="G37" i="54"/>
  <c r="E37" i="54"/>
  <c r="K47" i="54"/>
  <c r="G52" i="54"/>
  <c r="G53" i="54"/>
  <c r="E37" i="66"/>
  <c r="E36" i="66"/>
  <c r="O24" i="69" l="1"/>
  <c r="F50" i="69"/>
  <c r="M26" i="69" s="1"/>
  <c r="AK26" i="69" s="1"/>
  <c r="L24" i="69"/>
  <c r="W36" i="54"/>
  <c r="O12" i="54" s="1"/>
  <c r="W38" i="71"/>
  <c r="O14" i="71" s="1"/>
  <c r="W44" i="54"/>
  <c r="AA37" i="69"/>
  <c r="L13" i="69"/>
  <c r="W37" i="71"/>
  <c r="O13" i="71" s="1"/>
  <c r="W51" i="71"/>
  <c r="L13" i="71"/>
  <c r="F44" i="54"/>
  <c r="M20" i="54" s="1"/>
  <c r="AK20" i="54" s="1"/>
  <c r="F39" i="54"/>
  <c r="M15" i="54" s="1"/>
  <c r="AK15" i="54" s="1"/>
  <c r="W43" i="71"/>
  <c r="O19" i="71" s="1"/>
  <c r="W49" i="69"/>
  <c r="O25" i="69" s="1"/>
  <c r="W46" i="54"/>
  <c r="AA46" i="54" s="1"/>
  <c r="L22" i="54"/>
  <c r="F46" i="54"/>
  <c r="M22" i="54" s="1"/>
  <c r="AK22" i="54" s="1"/>
  <c r="F51" i="71"/>
  <c r="M27" i="71" s="1"/>
  <c r="AK27" i="71" s="1"/>
  <c r="O12" i="71"/>
  <c r="W52" i="71"/>
  <c r="F52" i="71"/>
  <c r="M28" i="71" s="1"/>
  <c r="AK28" i="71" s="1"/>
  <c r="L28" i="71"/>
  <c r="F44" i="71"/>
  <c r="M20" i="71" s="1"/>
  <c r="AK20" i="71" s="1"/>
  <c r="K20" i="71"/>
  <c r="AA45" i="71"/>
  <c r="O21" i="71"/>
  <c r="K24" i="71"/>
  <c r="K18" i="71"/>
  <c r="F42" i="71"/>
  <c r="M18" i="71" s="1"/>
  <c r="AK18" i="71" s="1"/>
  <c r="K16" i="71"/>
  <c r="F40" i="71"/>
  <c r="M16" i="71" s="1"/>
  <c r="AK16" i="71" s="1"/>
  <c r="K13" i="71"/>
  <c r="F37" i="71"/>
  <c r="M13" i="71" s="1"/>
  <c r="AK13" i="71" s="1"/>
  <c r="W47" i="71"/>
  <c r="F47" i="71"/>
  <c r="M23" i="71" s="1"/>
  <c r="AK23" i="71" s="1"/>
  <c r="L23" i="71"/>
  <c r="AA43" i="71"/>
  <c r="W48" i="71"/>
  <c r="F48" i="71"/>
  <c r="M24" i="71" s="1"/>
  <c r="AK24" i="71" s="1"/>
  <c r="L24" i="71"/>
  <c r="K14" i="71"/>
  <c r="K28" i="71"/>
  <c r="K29" i="71"/>
  <c r="F46" i="71"/>
  <c r="M22" i="71" s="1"/>
  <c r="AK22" i="71" s="1"/>
  <c r="W46" i="71"/>
  <c r="L22" i="71"/>
  <c r="AA51" i="71"/>
  <c r="O27" i="71"/>
  <c r="F49" i="71"/>
  <c r="M25" i="71" s="1"/>
  <c r="AK25" i="71" s="1"/>
  <c r="W49" i="71"/>
  <c r="L25" i="71"/>
  <c r="K23" i="71"/>
  <c r="F36" i="71"/>
  <c r="M12" i="71" s="1"/>
  <c r="AK12" i="71" s="1"/>
  <c r="K12" i="71"/>
  <c r="K22" i="71"/>
  <c r="K21" i="71"/>
  <c r="K27" i="71"/>
  <c r="AA44" i="71"/>
  <c r="O20" i="71"/>
  <c r="W53" i="71"/>
  <c r="F53" i="71"/>
  <c r="M29" i="71" s="1"/>
  <c r="AK29" i="71" s="1"/>
  <c r="L29" i="71"/>
  <c r="F50" i="71"/>
  <c r="M26" i="71" s="1"/>
  <c r="AK26" i="71" s="1"/>
  <c r="K26" i="71"/>
  <c r="K19" i="71"/>
  <c r="F43" i="71"/>
  <c r="M19" i="71" s="1"/>
  <c r="AK19" i="71" s="1"/>
  <c r="K15" i="71"/>
  <c r="F39" i="71"/>
  <c r="M15" i="71" s="1"/>
  <c r="AK15" i="71" s="1"/>
  <c r="K25" i="71"/>
  <c r="O18" i="71"/>
  <c r="AA42" i="71"/>
  <c r="F38" i="71"/>
  <c r="M14" i="71" s="1"/>
  <c r="AK14" i="71" s="1"/>
  <c r="W47" i="69"/>
  <c r="L23" i="69"/>
  <c r="W50" i="69"/>
  <c r="O26" i="69" s="1"/>
  <c r="W53" i="69"/>
  <c r="L29" i="69"/>
  <c r="AA49" i="69"/>
  <c r="L15" i="69"/>
  <c r="F39" i="69"/>
  <c r="M15" i="69" s="1"/>
  <c r="AK15" i="69" s="1"/>
  <c r="W39" i="69"/>
  <c r="F53" i="69"/>
  <c r="M29" i="69" s="1"/>
  <c r="AK29" i="69" s="1"/>
  <c r="K29" i="69"/>
  <c r="F47" i="69"/>
  <c r="M23" i="69" s="1"/>
  <c r="AK23" i="69" s="1"/>
  <c r="K23" i="69"/>
  <c r="F48" i="69"/>
  <c r="M24" i="69" s="1"/>
  <c r="AK24" i="69" s="1"/>
  <c r="F44" i="69"/>
  <c r="M20" i="69" s="1"/>
  <c r="AK20" i="69" s="1"/>
  <c r="W44" i="69"/>
  <c r="L20" i="69"/>
  <c r="F43" i="69"/>
  <c r="M19" i="69" s="1"/>
  <c r="AK19" i="69" s="1"/>
  <c r="W43" i="69"/>
  <c r="L19" i="69"/>
  <c r="F37" i="69"/>
  <c r="M13" i="69" s="1"/>
  <c r="AK13" i="69" s="1"/>
  <c r="K13" i="69"/>
  <c r="K14" i="69"/>
  <c r="K19" i="69"/>
  <c r="F49" i="69"/>
  <c r="M25" i="69" s="1"/>
  <c r="AK25" i="69" s="1"/>
  <c r="K25" i="69"/>
  <c r="K16" i="69"/>
  <c r="F36" i="69"/>
  <c r="M12" i="69" s="1"/>
  <c r="AK12" i="69" s="1"/>
  <c r="K12" i="69"/>
  <c r="K24" i="69"/>
  <c r="K20" i="69"/>
  <c r="F38" i="69"/>
  <c r="M14" i="69" s="1"/>
  <c r="AK14" i="69" s="1"/>
  <c r="L14" i="69"/>
  <c r="W38" i="69"/>
  <c r="K27" i="69"/>
  <c r="F40" i="69"/>
  <c r="M16" i="69" s="1"/>
  <c r="AK16" i="69" s="1"/>
  <c r="W40" i="69"/>
  <c r="L16" i="69"/>
  <c r="W51" i="69"/>
  <c r="F51" i="69"/>
  <c r="M27" i="69" s="1"/>
  <c r="AK27" i="69" s="1"/>
  <c r="L27" i="69"/>
  <c r="K26" i="69"/>
  <c r="K15" i="69"/>
  <c r="AA43" i="68"/>
  <c r="K13" i="68"/>
  <c r="W49" i="68"/>
  <c r="AA49" i="68" s="1"/>
  <c r="R36" i="68"/>
  <c r="AE36" i="68" s="1"/>
  <c r="K12" i="68"/>
  <c r="F36" i="68"/>
  <c r="M12" i="68" s="1"/>
  <c r="AK12" i="68" s="1"/>
  <c r="AH46" i="68"/>
  <c r="AP46" i="68" s="1"/>
  <c r="AI46" i="68" s="1"/>
  <c r="AQ46" i="68" s="1"/>
  <c r="L22" i="68"/>
  <c r="K20" i="68"/>
  <c r="AA41" i="68"/>
  <c r="O17" i="68"/>
  <c r="W48" i="68"/>
  <c r="O24" i="68" s="1"/>
  <c r="W46" i="68"/>
  <c r="AA46" i="68" s="1"/>
  <c r="F46" i="68"/>
  <c r="M22" i="68" s="1"/>
  <c r="AK22" i="68" s="1"/>
  <c r="K23" i="68"/>
  <c r="K14" i="68"/>
  <c r="R43" i="68"/>
  <c r="AE43" i="68" s="1"/>
  <c r="K19" i="68"/>
  <c r="AH49" i="68"/>
  <c r="AP49" i="68" s="1"/>
  <c r="AI49" i="68" s="1"/>
  <c r="AQ49" i="68" s="1"/>
  <c r="L25" i="68"/>
  <c r="Q46" i="68"/>
  <c r="K22" i="68"/>
  <c r="F40" i="68"/>
  <c r="M16" i="68" s="1"/>
  <c r="AK16" i="68" s="1"/>
  <c r="F48" i="68"/>
  <c r="M24" i="68" s="1"/>
  <c r="AK24" i="68" s="1"/>
  <c r="L24" i="68"/>
  <c r="AH48" i="68"/>
  <c r="AP48" i="68" s="1"/>
  <c r="AI48" i="68" s="1"/>
  <c r="AQ48" i="68" s="1"/>
  <c r="F44" i="68"/>
  <c r="M20" i="68" s="1"/>
  <c r="AK20" i="68" s="1"/>
  <c r="AH44" i="68"/>
  <c r="K15" i="68"/>
  <c r="AH47" i="68"/>
  <c r="AP47" i="68" s="1"/>
  <c r="AI47" i="68" s="1"/>
  <c r="AQ47" i="68" s="1"/>
  <c r="L23" i="68"/>
  <c r="F47" i="68"/>
  <c r="M23" i="68" s="1"/>
  <c r="AK23" i="68" s="1"/>
  <c r="M28" i="68"/>
  <c r="AK28" i="68" s="1"/>
  <c r="W52" i="68"/>
  <c r="L28" i="68"/>
  <c r="AH52" i="68"/>
  <c r="K24" i="68"/>
  <c r="R48" i="68"/>
  <c r="AE48" i="68" s="1"/>
  <c r="AH45" i="68"/>
  <c r="AH53" i="68"/>
  <c r="AP53" i="68" s="1"/>
  <c r="AI53" i="68" s="1"/>
  <c r="AQ53" i="68" s="1"/>
  <c r="L29" i="68"/>
  <c r="W53" i="68"/>
  <c r="F39" i="68"/>
  <c r="M15" i="68" s="1"/>
  <c r="AK15" i="68" s="1"/>
  <c r="S37" i="68"/>
  <c r="AF37" i="68" s="1"/>
  <c r="S41" i="68"/>
  <c r="AF41" i="68" s="1"/>
  <c r="Q42" i="68"/>
  <c r="AP38" i="68"/>
  <c r="AI38" i="68" s="1"/>
  <c r="AQ38" i="68" s="1"/>
  <c r="AP54" i="68"/>
  <c r="AI54" i="68" s="1"/>
  <c r="AQ54" i="68" s="1"/>
  <c r="W44" i="68"/>
  <c r="L20" i="68"/>
  <c r="AP42" i="68"/>
  <c r="AI42" i="68" s="1"/>
  <c r="AQ42" i="68" s="1"/>
  <c r="AA38" i="68"/>
  <c r="O14" i="68"/>
  <c r="K30" i="68"/>
  <c r="S51" i="68"/>
  <c r="AF51" i="68" s="1"/>
  <c r="R51" i="68"/>
  <c r="AE51" i="68" s="1"/>
  <c r="K27" i="68"/>
  <c r="AA54" i="68"/>
  <c r="O30" i="68"/>
  <c r="AP43" i="68"/>
  <c r="AI43" i="68" s="1"/>
  <c r="AQ43" i="68" s="1"/>
  <c r="AP39" i="68"/>
  <c r="AI39" i="68" s="1"/>
  <c r="AQ39" i="68" s="1"/>
  <c r="AA37" i="68"/>
  <c r="O13" i="68"/>
  <c r="Q53" i="68"/>
  <c r="Q47" i="68"/>
  <c r="R53" i="68"/>
  <c r="AE53" i="68" s="1"/>
  <c r="K29" i="68"/>
  <c r="M30" i="68"/>
  <c r="AK30" i="68" s="1"/>
  <c r="W45" i="68"/>
  <c r="M21" i="68"/>
  <c r="AK21" i="68" s="1"/>
  <c r="L21" i="68"/>
  <c r="AA42" i="68"/>
  <c r="O18" i="68"/>
  <c r="AP41" i="68"/>
  <c r="AI41" i="68" s="1"/>
  <c r="AQ41" i="68" s="1"/>
  <c r="W36" i="68"/>
  <c r="AH36" i="68"/>
  <c r="L12" i="68"/>
  <c r="AA39" i="68"/>
  <c r="O15" i="68"/>
  <c r="AO37" i="68"/>
  <c r="AD13" i="68" s="1"/>
  <c r="Q37" i="68"/>
  <c r="AN37" i="68"/>
  <c r="AC13" i="68" s="1"/>
  <c r="Q38" i="68"/>
  <c r="Q48" i="68"/>
  <c r="AO48" i="68"/>
  <c r="AD24" i="68" s="1"/>
  <c r="AN48" i="68"/>
  <c r="AC24" i="68" s="1"/>
  <c r="AK37" i="68"/>
  <c r="W51" i="68"/>
  <c r="AH51" i="68"/>
  <c r="M27" i="68"/>
  <c r="AK27" i="68" s="1"/>
  <c r="L27" i="68"/>
  <c r="K26" i="68"/>
  <c r="AA47" i="68"/>
  <c r="O23" i="68"/>
  <c r="K16" i="68"/>
  <c r="AP40" i="68"/>
  <c r="AI40" i="68" s="1"/>
  <c r="AQ40" i="68" s="1"/>
  <c r="Q45" i="68"/>
  <c r="Q41" i="68"/>
  <c r="AP52" i="68"/>
  <c r="AI52" i="68" s="1"/>
  <c r="AQ52" i="68" s="1"/>
  <c r="K28" i="68"/>
  <c r="M29" i="68"/>
  <c r="AK29" i="68" s="1"/>
  <c r="T45" i="68"/>
  <c r="AG45" i="68" s="1"/>
  <c r="R45" i="68"/>
  <c r="AE45" i="68" s="1"/>
  <c r="K21" i="68"/>
  <c r="M26" i="68"/>
  <c r="AK26" i="68" s="1"/>
  <c r="W50" i="68"/>
  <c r="L26" i="68"/>
  <c r="AH50" i="68"/>
  <c r="S49" i="68"/>
  <c r="AF49" i="68" s="1"/>
  <c r="AA40" i="68"/>
  <c r="O16" i="68"/>
  <c r="T42" i="68"/>
  <c r="AG42" i="68" s="1"/>
  <c r="R42" i="68"/>
  <c r="AE42" i="68" s="1"/>
  <c r="S42" i="68"/>
  <c r="AF42" i="68" s="1"/>
  <c r="K18" i="68"/>
  <c r="Q49" i="68"/>
  <c r="AO36" i="68"/>
  <c r="AD12" i="68" s="1"/>
  <c r="Q36" i="68"/>
  <c r="AN36" i="68"/>
  <c r="AC12" i="68" s="1"/>
  <c r="AO44" i="68"/>
  <c r="AD20" i="68" s="1"/>
  <c r="Q44" i="68"/>
  <c r="AN44" i="68"/>
  <c r="AC20" i="68" s="1"/>
  <c r="R54" i="68"/>
  <c r="AE54" i="68" s="1"/>
  <c r="F38" i="54"/>
  <c r="M14" i="54" s="1"/>
  <c r="AK14" i="54" s="1"/>
  <c r="F43" i="54"/>
  <c r="M19" i="54" s="1"/>
  <c r="AK19" i="54" s="1"/>
  <c r="W41" i="54"/>
  <c r="AA41" i="54" s="1"/>
  <c r="W39" i="54"/>
  <c r="O15" i="54" s="1"/>
  <c r="F41" i="54"/>
  <c r="M17" i="54" s="1"/>
  <c r="AK17" i="54" s="1"/>
  <c r="W49" i="54"/>
  <c r="L25" i="54"/>
  <c r="F36" i="54"/>
  <c r="M12" i="54" s="1"/>
  <c r="AK12" i="54" s="1"/>
  <c r="L16" i="54"/>
  <c r="W48" i="54"/>
  <c r="L24" i="54"/>
  <c r="F49" i="54"/>
  <c r="M25" i="54" s="1"/>
  <c r="AK25" i="54" s="1"/>
  <c r="W43" i="54"/>
  <c r="O19" i="54" s="1"/>
  <c r="L14" i="54"/>
  <c r="W45" i="54"/>
  <c r="L21" i="54"/>
  <c r="L23" i="54"/>
  <c r="F47" i="54"/>
  <c r="M23" i="54" s="1"/>
  <c r="AK23" i="54" s="1"/>
  <c r="F40" i="54"/>
  <c r="M16" i="54" s="1"/>
  <c r="AK16" i="54" s="1"/>
  <c r="F45" i="54"/>
  <c r="M21" i="54" s="1"/>
  <c r="AK21" i="54" s="1"/>
  <c r="W51" i="54"/>
  <c r="L27" i="54"/>
  <c r="W37" i="54"/>
  <c r="F37" i="54"/>
  <c r="M13" i="54" s="1"/>
  <c r="AK13" i="54" s="1"/>
  <c r="L13" i="54"/>
  <c r="Q47" i="54"/>
  <c r="F53" i="54"/>
  <c r="M29" i="54" s="1"/>
  <c r="AK29" i="54" s="1"/>
  <c r="W53" i="54"/>
  <c r="L29" i="54"/>
  <c r="AA47" i="54"/>
  <c r="O23" i="54"/>
  <c r="F52" i="54"/>
  <c r="M28" i="54" s="1"/>
  <c r="AK28" i="54" s="1"/>
  <c r="W52" i="54"/>
  <c r="L28" i="54"/>
  <c r="O14" i="54"/>
  <c r="AA38" i="54"/>
  <c r="AA36" i="54"/>
  <c r="AA44" i="54"/>
  <c r="O20" i="54"/>
  <c r="AA40" i="54"/>
  <c r="O16" i="54"/>
  <c r="N38" i="66"/>
  <c r="N37" i="66"/>
  <c r="N36" i="66"/>
  <c r="S7" i="36"/>
  <c r="S5" i="36"/>
  <c r="S4" i="36"/>
  <c r="S6" i="36"/>
  <c r="H38" i="36" s="1"/>
  <c r="R7" i="36"/>
  <c r="R5" i="36"/>
  <c r="R4" i="36"/>
  <c r="R6" i="36"/>
  <c r="H37" i="36" s="1"/>
  <c r="I37" i="36" s="1"/>
  <c r="Q7" i="36"/>
  <c r="Q5" i="36"/>
  <c r="Q4" i="36"/>
  <c r="Q6" i="36"/>
  <c r="H36" i="36" s="1"/>
  <c r="O22" i="54" l="1"/>
  <c r="O17" i="54"/>
  <c r="AA43" i="54"/>
  <c r="AA50" i="69"/>
  <c r="I36" i="36"/>
  <c r="M36" i="36"/>
  <c r="I38" i="36"/>
  <c r="M38" i="36"/>
  <c r="M37" i="36"/>
  <c r="AA38" i="71"/>
  <c r="AA37" i="71"/>
  <c r="AA39" i="54"/>
  <c r="O29" i="71"/>
  <c r="AA53" i="71"/>
  <c r="O28" i="71"/>
  <c r="AA52" i="71"/>
  <c r="AA49" i="71"/>
  <c r="O25" i="71"/>
  <c r="AA46" i="71"/>
  <c r="O22" i="71"/>
  <c r="AA48" i="71"/>
  <c r="O24" i="71"/>
  <c r="AA47" i="71"/>
  <c r="O23" i="71"/>
  <c r="AA53" i="69"/>
  <c r="O29" i="69"/>
  <c r="O23" i="69"/>
  <c r="AA47" i="69"/>
  <c r="AA40" i="69"/>
  <c r="O16" i="69"/>
  <c r="AA38" i="69"/>
  <c r="O14" i="69"/>
  <c r="AA43" i="69"/>
  <c r="O19" i="69"/>
  <c r="AA44" i="69"/>
  <c r="O20" i="69"/>
  <c r="AA39" i="69"/>
  <c r="O15" i="69"/>
  <c r="AA51" i="69"/>
  <c r="O27" i="69"/>
  <c r="AA48" i="68"/>
  <c r="AK40" i="68"/>
  <c r="AK52" i="68"/>
  <c r="T49" i="68"/>
  <c r="AG49" i="68" s="1"/>
  <c r="AN49" i="68"/>
  <c r="AC25" i="68" s="1"/>
  <c r="S39" i="68"/>
  <c r="AF39" i="68" s="1"/>
  <c r="AN43" i="68"/>
  <c r="AC19" i="68" s="1"/>
  <c r="Q39" i="68"/>
  <c r="AD39" i="68" s="1"/>
  <c r="O22" i="68"/>
  <c r="O25" i="68"/>
  <c r="AO49" i="68"/>
  <c r="AD25" i="68" s="1"/>
  <c r="Q43" i="68"/>
  <c r="V43" i="68" s="1"/>
  <c r="AK49" i="68"/>
  <c r="R49" i="68"/>
  <c r="AE49" i="68" s="1"/>
  <c r="AO43" i="68"/>
  <c r="AD19" i="68" s="1"/>
  <c r="S38" i="68"/>
  <c r="AF38" i="68" s="1"/>
  <c r="AN47" i="68"/>
  <c r="AC23" i="68" s="1"/>
  <c r="AK43" i="68"/>
  <c r="AA52" i="68"/>
  <c r="O28" i="68"/>
  <c r="T39" i="68"/>
  <c r="AG39" i="68" s="1"/>
  <c r="R39" i="68"/>
  <c r="AE39" i="68" s="1"/>
  <c r="AA53" i="68"/>
  <c r="O29" i="68"/>
  <c r="R47" i="68"/>
  <c r="AE47" i="68" s="1"/>
  <c r="AK38" i="68"/>
  <c r="AP44" i="68"/>
  <c r="AI44" i="68" s="1"/>
  <c r="AQ44" i="68" s="1"/>
  <c r="S40" i="68"/>
  <c r="AF40" i="68" s="1"/>
  <c r="AP36" i="68"/>
  <c r="AI36" i="68" s="1"/>
  <c r="AQ36" i="68" s="1"/>
  <c r="AP45" i="68"/>
  <c r="AI45" i="68" s="1"/>
  <c r="AQ45" i="68" s="1"/>
  <c r="V44" i="68"/>
  <c r="N20" i="68" s="1"/>
  <c r="AG20" i="68" s="1"/>
  <c r="Z44" i="68"/>
  <c r="AD44" i="68"/>
  <c r="AJ44" i="68" s="1"/>
  <c r="AA50" i="68"/>
  <c r="O26" i="68"/>
  <c r="AK48" i="68"/>
  <c r="S45" i="68"/>
  <c r="AF45" i="68" s="1"/>
  <c r="AN45" i="68"/>
  <c r="AC21" i="68" s="1"/>
  <c r="R50" i="68"/>
  <c r="AE50" i="68" s="1"/>
  <c r="AP51" i="68"/>
  <c r="AI51" i="68" s="1"/>
  <c r="AQ51" i="68" s="1"/>
  <c r="AE24" i="68"/>
  <c r="AE13" i="68"/>
  <c r="AA36" i="68"/>
  <c r="O12" i="68"/>
  <c r="AA45" i="68"/>
  <c r="O21" i="68"/>
  <c r="AK53" i="68"/>
  <c r="AD47" i="68"/>
  <c r="AK39" i="68"/>
  <c r="AK47" i="68"/>
  <c r="AN42" i="68"/>
  <c r="AC18" i="68" s="1"/>
  <c r="Q52" i="68"/>
  <c r="AO41" i="68"/>
  <c r="AD17" i="68" s="1"/>
  <c r="AD38" i="68"/>
  <c r="AD37" i="68"/>
  <c r="AJ37" i="68" s="1"/>
  <c r="U13" i="68" s="1"/>
  <c r="V13" i="68" s="1"/>
  <c r="AN13" i="68" s="1"/>
  <c r="V37" i="68"/>
  <c r="Z37" i="68"/>
  <c r="R13" i="68" s="1"/>
  <c r="AB13" i="68" s="1"/>
  <c r="AE20" i="68"/>
  <c r="V36" i="68"/>
  <c r="N12" i="68" s="1"/>
  <c r="Z36" i="68"/>
  <c r="AD36" i="68"/>
  <c r="AJ36" i="68" s="1"/>
  <c r="AD49" i="68"/>
  <c r="AJ49" i="68" s="1"/>
  <c r="AE19" i="68"/>
  <c r="AO39" i="68"/>
  <c r="AD15" i="68" s="1"/>
  <c r="AN41" i="68"/>
  <c r="AC17" i="68" s="1"/>
  <c r="AO45" i="68"/>
  <c r="AD21" i="68" s="1"/>
  <c r="AA51" i="68"/>
  <c r="O27" i="68"/>
  <c r="AD48" i="68"/>
  <c r="AJ48" i="68" s="1"/>
  <c r="U24" i="68" s="1"/>
  <c r="V24" i="68" s="1"/>
  <c r="AN24" i="68" s="1"/>
  <c r="Z48" i="68"/>
  <c r="R24" i="68" s="1"/>
  <c r="AB24" i="68" s="1"/>
  <c r="V48" i="68"/>
  <c r="Q51" i="68"/>
  <c r="AO51" i="68"/>
  <c r="AD27" i="68" s="1"/>
  <c r="AN51" i="68"/>
  <c r="AC27" i="68" s="1"/>
  <c r="AK41" i="68"/>
  <c r="AD46" i="68"/>
  <c r="AD53" i="68"/>
  <c r="AK42" i="68"/>
  <c r="AA44" i="68"/>
  <c r="O20" i="68"/>
  <c r="AK46" i="68"/>
  <c r="V42" i="68"/>
  <c r="Z42" i="68"/>
  <c r="R18" i="68" s="1"/>
  <c r="AB18" i="68" s="1"/>
  <c r="AD42" i="68"/>
  <c r="AJ42" i="68" s="1"/>
  <c r="AN54" i="68"/>
  <c r="AC30" i="68" s="1"/>
  <c r="AO54" i="68"/>
  <c r="AD30" i="68" s="1"/>
  <c r="Q54" i="68"/>
  <c r="Q40" i="68"/>
  <c r="AE12" i="68"/>
  <c r="Q50" i="68"/>
  <c r="AP50" i="68"/>
  <c r="AI50" i="68" s="1"/>
  <c r="AQ50" i="68" s="1"/>
  <c r="R52" i="68"/>
  <c r="AE52" i="68" s="1"/>
  <c r="V41" i="68"/>
  <c r="Z41" i="68"/>
  <c r="AD41" i="68"/>
  <c r="AJ41" i="68" s="1"/>
  <c r="AD45" i="68"/>
  <c r="Z45" i="68"/>
  <c r="R21" i="68" s="1"/>
  <c r="AB21" i="68" s="1"/>
  <c r="R40" i="68"/>
  <c r="AE40" i="68" s="1"/>
  <c r="T53" i="68"/>
  <c r="AG53" i="68" s="1"/>
  <c r="R46" i="68"/>
  <c r="AE46" i="68" s="1"/>
  <c r="AO53" i="68"/>
  <c r="AD29" i="68" s="1"/>
  <c r="AK54" i="68"/>
  <c r="AO42" i="68"/>
  <c r="AD18" i="68" s="1"/>
  <c r="O27" i="54"/>
  <c r="AA51" i="54"/>
  <c r="O24" i="54"/>
  <c r="AA48" i="54"/>
  <c r="O21" i="54"/>
  <c r="AA45" i="54"/>
  <c r="O25" i="54"/>
  <c r="AA49" i="54"/>
  <c r="AA52" i="54"/>
  <c r="O28" i="54"/>
  <c r="AD47" i="54"/>
  <c r="AA37" i="54"/>
  <c r="O13" i="54"/>
  <c r="AA53" i="54"/>
  <c r="O29" i="54"/>
  <c r="N7" i="36"/>
  <c r="M7" i="36"/>
  <c r="L7" i="36"/>
  <c r="N5" i="36"/>
  <c r="M5" i="36"/>
  <c r="L5" i="36"/>
  <c r="N4" i="36"/>
  <c r="M4" i="36"/>
  <c r="L4" i="36"/>
  <c r="C36" i="36" s="1"/>
  <c r="N6" i="36"/>
  <c r="M6" i="36"/>
  <c r="L6" i="36"/>
  <c r="C38" i="36" l="1"/>
  <c r="C37" i="36"/>
  <c r="V49" i="68"/>
  <c r="Z49" i="68"/>
  <c r="R25" i="68" s="1"/>
  <c r="AB25" i="68" s="1"/>
  <c r="AD43" i="68"/>
  <c r="AJ43" i="68" s="1"/>
  <c r="U19" i="68" s="1"/>
  <c r="V19" i="68" s="1"/>
  <c r="AN19" i="68" s="1"/>
  <c r="Z43" i="68"/>
  <c r="R19" i="68" s="1"/>
  <c r="AB19" i="68" s="1"/>
  <c r="AE25" i="68"/>
  <c r="U17" i="68"/>
  <c r="V17" i="68" s="1"/>
  <c r="AN17" i="68" s="1"/>
  <c r="U25" i="68"/>
  <c r="V25" i="68" s="1"/>
  <c r="AN25" i="68" s="1"/>
  <c r="R12" i="68"/>
  <c r="AB12" i="68" s="1"/>
  <c r="V39" i="68"/>
  <c r="N15" i="68" s="1"/>
  <c r="AJ39" i="68"/>
  <c r="AO47" i="68"/>
  <c r="AD23" i="68" s="1"/>
  <c r="AE23" i="68" s="1"/>
  <c r="T47" i="68"/>
  <c r="AN38" i="68"/>
  <c r="AC14" i="68" s="1"/>
  <c r="X44" i="68"/>
  <c r="P20" i="68" s="1"/>
  <c r="AL20" i="68" s="1"/>
  <c r="AB37" i="68"/>
  <c r="S13" i="68" s="1"/>
  <c r="AM13" i="68" s="1"/>
  <c r="Z39" i="68"/>
  <c r="R38" i="68"/>
  <c r="AO38" i="68"/>
  <c r="AD14" i="68" s="1"/>
  <c r="AN39" i="68"/>
  <c r="AC15" i="68" s="1"/>
  <c r="AE15" i="68" s="1"/>
  <c r="AL42" i="68"/>
  <c r="U15" i="68"/>
  <c r="V15" i="68" s="1"/>
  <c r="AN15" i="68" s="1"/>
  <c r="V45" i="68"/>
  <c r="N21" i="68" s="1"/>
  <c r="AG12" i="68"/>
  <c r="AL49" i="68"/>
  <c r="AL43" i="68"/>
  <c r="AL37" i="68"/>
  <c r="AJ45" i="68"/>
  <c r="AB44" i="68"/>
  <c r="S20" i="68" s="1"/>
  <c r="AM20" i="68" s="1"/>
  <c r="Z53" i="68"/>
  <c r="AB53" i="68" s="1"/>
  <c r="S29" i="68" s="1"/>
  <c r="AM29" i="68" s="1"/>
  <c r="Z54" i="68"/>
  <c r="AD54" i="68"/>
  <c r="AJ54" i="68" s="1"/>
  <c r="U30" i="68" s="1"/>
  <c r="V30" i="68" s="1"/>
  <c r="AN30" i="68" s="1"/>
  <c r="V54" i="68"/>
  <c r="AE18" i="68"/>
  <c r="AN40" i="68"/>
  <c r="AC16" i="68" s="1"/>
  <c r="AE30" i="68"/>
  <c r="N18" i="68"/>
  <c r="X42" i="68"/>
  <c r="P18" i="68" s="1"/>
  <c r="AL18" i="68" s="1"/>
  <c r="V53" i="68"/>
  <c r="AE27" i="68"/>
  <c r="N25" i="68"/>
  <c r="X49" i="68"/>
  <c r="P25" i="68" s="1"/>
  <c r="AL25" i="68" s="1"/>
  <c r="N13" i="68"/>
  <c r="X37" i="68"/>
  <c r="P13" i="68" s="1"/>
  <c r="AL13" i="68" s="1"/>
  <c r="AN52" i="68"/>
  <c r="AC28" i="68" s="1"/>
  <c r="AB45" i="68"/>
  <c r="S21" i="68" s="1"/>
  <c r="AM21" i="68" s="1"/>
  <c r="AK51" i="68"/>
  <c r="R20" i="68"/>
  <c r="AB20" i="68" s="1"/>
  <c r="AK45" i="68"/>
  <c r="AK44" i="68"/>
  <c r="AL44" i="68" s="1"/>
  <c r="AB48" i="68"/>
  <c r="S24" i="68" s="1"/>
  <c r="AM24" i="68" s="1"/>
  <c r="S46" i="68"/>
  <c r="AN46" i="68"/>
  <c r="AC22" i="68" s="1"/>
  <c r="AB41" i="68"/>
  <c r="S17" i="68" s="1"/>
  <c r="AM17" i="68" s="1"/>
  <c r="R17" i="68"/>
  <c r="AB17" i="68" s="1"/>
  <c r="AD51" i="68"/>
  <c r="AJ51" i="68" s="1"/>
  <c r="Z51" i="68"/>
  <c r="R27" i="68" s="1"/>
  <c r="AB27" i="68" s="1"/>
  <c r="V51" i="68"/>
  <c r="AE21" i="68"/>
  <c r="AO52" i="68"/>
  <c r="AD28" i="68" s="1"/>
  <c r="AB49" i="68"/>
  <c r="S25" i="68" s="1"/>
  <c r="AM25" i="68" s="1"/>
  <c r="X36" i="68"/>
  <c r="P12" i="68" s="1"/>
  <c r="AL12" i="68" s="1"/>
  <c r="AL48" i="68"/>
  <c r="AD52" i="68"/>
  <c r="AJ52" i="68" s="1"/>
  <c r="Z52" i="68"/>
  <c r="V52" i="68"/>
  <c r="X39" i="68"/>
  <c r="P15" i="68" s="1"/>
  <c r="AL15" i="68" s="1"/>
  <c r="AK50" i="68"/>
  <c r="V40" i="68"/>
  <c r="Z40" i="68"/>
  <c r="AD40" i="68"/>
  <c r="AJ40" i="68" s="1"/>
  <c r="X41" i="68"/>
  <c r="P17" i="68" s="1"/>
  <c r="AL17" i="68" s="1"/>
  <c r="N17" i="68"/>
  <c r="AD50" i="68"/>
  <c r="AO40" i="68"/>
  <c r="AD16" i="68" s="1"/>
  <c r="U18" i="68"/>
  <c r="V18" i="68" s="1"/>
  <c r="AN18" i="68" s="1"/>
  <c r="AJ53" i="68"/>
  <c r="U29" i="68" s="1"/>
  <c r="V29" i="68" s="1"/>
  <c r="AN29" i="68" s="1"/>
  <c r="AL41" i="68"/>
  <c r="N24" i="68"/>
  <c r="X48" i="68"/>
  <c r="P24" i="68" s="1"/>
  <c r="AL24" i="68" s="1"/>
  <c r="AN53" i="68"/>
  <c r="AC29" i="68" s="1"/>
  <c r="AE29" i="68" s="1"/>
  <c r="AE17" i="68"/>
  <c r="AL39" i="68"/>
  <c r="AB42" i="68"/>
  <c r="S18" i="68" s="1"/>
  <c r="AM18" i="68" s="1"/>
  <c r="AB36" i="68"/>
  <c r="S12" i="68" s="1"/>
  <c r="AM12" i="68" s="1"/>
  <c r="N19" i="68"/>
  <c r="X43" i="68"/>
  <c r="P19" i="68" s="1"/>
  <c r="AL19" i="68" s="1"/>
  <c r="AK36" i="68"/>
  <c r="AL36" i="68" s="1"/>
  <c r="AO46" i="68"/>
  <c r="AD22" i="68" s="1"/>
  <c r="D37" i="36"/>
  <c r="B37" i="36" s="1"/>
  <c r="D36" i="36"/>
  <c r="B36" i="36" s="1"/>
  <c r="E38" i="36"/>
  <c r="E37" i="36"/>
  <c r="E36" i="36"/>
  <c r="L36" i="36" s="1"/>
  <c r="D38" i="36" l="1"/>
  <c r="L38" i="36" s="1"/>
  <c r="L37" i="36"/>
  <c r="R29" i="68"/>
  <c r="AB29" i="68" s="1"/>
  <c r="AB43" i="68"/>
  <c r="S19" i="68" s="1"/>
  <c r="AM19" i="68" s="1"/>
  <c r="AE14" i="68"/>
  <c r="U27" i="68"/>
  <c r="V27" i="68" s="1"/>
  <c r="AN27" i="68" s="1"/>
  <c r="AL45" i="68"/>
  <c r="AL53" i="68"/>
  <c r="X45" i="68"/>
  <c r="P21" i="68" s="1"/>
  <c r="AL21" i="68" s="1"/>
  <c r="AG21" i="68"/>
  <c r="U20" i="68"/>
  <c r="V20" i="68" s="1"/>
  <c r="AN20" i="68" s="1"/>
  <c r="AE38" i="68"/>
  <c r="AJ38" i="68" s="1"/>
  <c r="V38" i="68"/>
  <c r="Z38" i="68"/>
  <c r="R15" i="68"/>
  <c r="AB15" i="68" s="1"/>
  <c r="AB39" i="68"/>
  <c r="S15" i="68" s="1"/>
  <c r="AM15" i="68" s="1"/>
  <c r="AG47" i="68"/>
  <c r="AJ47" i="68" s="1"/>
  <c r="Z47" i="68"/>
  <c r="V47" i="68"/>
  <c r="AG15" i="68"/>
  <c r="U12" i="68"/>
  <c r="V12" i="68" s="1"/>
  <c r="AN12" i="68" s="1"/>
  <c r="AB51" i="68"/>
  <c r="S27" i="68" s="1"/>
  <c r="AM27" i="68" s="1"/>
  <c r="U28" i="68"/>
  <c r="V28" i="68" s="1"/>
  <c r="AN28" i="68" s="1"/>
  <c r="AL52" i="68"/>
  <c r="AE16" i="68"/>
  <c r="S50" i="68"/>
  <c r="AN50" i="68"/>
  <c r="AC26" i="68" s="1"/>
  <c r="AO50" i="68"/>
  <c r="AD26" i="68" s="1"/>
  <c r="R16" i="68"/>
  <c r="AB16" i="68" s="1"/>
  <c r="AB40" i="68"/>
  <c r="S16" i="68" s="1"/>
  <c r="AM16" i="68" s="1"/>
  <c r="AF46" i="68"/>
  <c r="AJ46" i="68" s="1"/>
  <c r="V46" i="68"/>
  <c r="AG13" i="68"/>
  <c r="AE22" i="68"/>
  <c r="N16" i="68"/>
  <c r="X40" i="68"/>
  <c r="P16" i="68" s="1"/>
  <c r="AL16" i="68" s="1"/>
  <c r="N28" i="68"/>
  <c r="X52" i="68"/>
  <c r="P28" i="68" s="1"/>
  <c r="AL28" i="68" s="1"/>
  <c r="AE28" i="68"/>
  <c r="N27" i="68"/>
  <c r="X51" i="68"/>
  <c r="P27" i="68" s="1"/>
  <c r="AL27" i="68" s="1"/>
  <c r="AL51" i="68"/>
  <c r="Z46" i="68"/>
  <c r="U16" i="68"/>
  <c r="V16" i="68" s="1"/>
  <c r="AN16" i="68" s="1"/>
  <c r="AL40" i="68"/>
  <c r="AG24" i="68"/>
  <c r="U21" i="68"/>
  <c r="V21" i="68" s="1"/>
  <c r="AN21" i="68" s="1"/>
  <c r="N30" i="68"/>
  <c r="X54" i="68"/>
  <c r="P30" i="68" s="1"/>
  <c r="AL30" i="68" s="1"/>
  <c r="AG19" i="68"/>
  <c r="AG17" i="68"/>
  <c r="R28" i="68"/>
  <c r="AB28" i="68" s="1"/>
  <c r="AB52" i="68"/>
  <c r="S28" i="68" s="1"/>
  <c r="AM28" i="68" s="1"/>
  <c r="AL54" i="68"/>
  <c r="AG25" i="68"/>
  <c r="N29" i="68"/>
  <c r="X53" i="68"/>
  <c r="P29" i="68" s="1"/>
  <c r="AL29" i="68" s="1"/>
  <c r="AG18" i="68"/>
  <c r="R30" i="68"/>
  <c r="AB30" i="68" s="1"/>
  <c r="AB54" i="68"/>
  <c r="S30" i="68" s="1"/>
  <c r="AM30" i="68" s="1"/>
  <c r="B54" i="66"/>
  <c r="E54" i="66" s="1"/>
  <c r="B53" i="66"/>
  <c r="E53" i="66" s="1"/>
  <c r="B52" i="66"/>
  <c r="B51" i="66"/>
  <c r="B50" i="66"/>
  <c r="E50" i="66" s="1"/>
  <c r="B49" i="66"/>
  <c r="B48" i="66"/>
  <c r="B47" i="66"/>
  <c r="E46" i="66"/>
  <c r="B46" i="66"/>
  <c r="B45" i="66"/>
  <c r="B44" i="66"/>
  <c r="E44" i="66" s="1"/>
  <c r="B43" i="66"/>
  <c r="E43" i="66" s="1"/>
  <c r="B42" i="66"/>
  <c r="B41" i="66"/>
  <c r="B40" i="66"/>
  <c r="B39" i="66"/>
  <c r="AG35" i="66"/>
  <c r="AF35" i="66"/>
  <c r="AE35" i="66"/>
  <c r="B34" i="66"/>
  <c r="J29" i="66"/>
  <c r="Y29" i="66" s="1"/>
  <c r="J28" i="66"/>
  <c r="Y28" i="66" s="1"/>
  <c r="J14" i="66"/>
  <c r="Y14" i="66" s="1"/>
  <c r="J13" i="66"/>
  <c r="Y13" i="66" s="1"/>
  <c r="J12" i="66"/>
  <c r="Y12" i="66" s="1"/>
  <c r="J11" i="66"/>
  <c r="Y10" i="66"/>
  <c r="Z6" i="66"/>
  <c r="Z3" i="66"/>
  <c r="B38" i="36" l="1"/>
  <c r="K38" i="54"/>
  <c r="K37" i="54"/>
  <c r="K36" i="54"/>
  <c r="AL47" i="68"/>
  <c r="U23" i="68"/>
  <c r="V23" i="68" s="1"/>
  <c r="AN23" i="68" s="1"/>
  <c r="N14" i="68"/>
  <c r="X38" i="68"/>
  <c r="P14" i="68" s="1"/>
  <c r="AL14" i="68" s="1"/>
  <c r="AL38" i="68"/>
  <c r="U14" i="68"/>
  <c r="V14" i="68" s="1"/>
  <c r="AN14" i="68" s="1"/>
  <c r="N23" i="68"/>
  <c r="X47" i="68"/>
  <c r="P23" i="68" s="1"/>
  <c r="AL23" i="68" s="1"/>
  <c r="R23" i="68"/>
  <c r="AB23" i="68" s="1"/>
  <c r="AB47" i="68"/>
  <c r="S23" i="68" s="1"/>
  <c r="AM23" i="68" s="1"/>
  <c r="R14" i="68"/>
  <c r="AB14" i="68" s="1"/>
  <c r="AB38" i="68"/>
  <c r="S14" i="68" s="1"/>
  <c r="AM14" i="68" s="1"/>
  <c r="AG16" i="68"/>
  <c r="R22" i="68"/>
  <c r="AB22" i="68" s="1"/>
  <c r="AB46" i="68"/>
  <c r="S22" i="68" s="1"/>
  <c r="AM22" i="68" s="1"/>
  <c r="N22" i="68"/>
  <c r="X46" i="68"/>
  <c r="P22" i="68" s="1"/>
  <c r="AL22" i="68" s="1"/>
  <c r="AE26" i="68"/>
  <c r="AG29" i="68"/>
  <c r="AG28" i="68"/>
  <c r="U22" i="68"/>
  <c r="V22" i="68" s="1"/>
  <c r="AN22" i="68" s="1"/>
  <c r="AL46" i="68"/>
  <c r="AG30" i="68"/>
  <c r="AF50" i="68"/>
  <c r="AJ50" i="68" s="1"/>
  <c r="V50" i="68"/>
  <c r="Z50" i="68"/>
  <c r="AG27" i="68"/>
  <c r="E45" i="66"/>
  <c r="J27" i="66"/>
  <c r="Y27" i="66" s="1"/>
  <c r="E51" i="66"/>
  <c r="J15" i="66"/>
  <c r="Y15" i="66" s="1"/>
  <c r="J25" i="66"/>
  <c r="Y25" i="66" s="1"/>
  <c r="E49" i="66"/>
  <c r="E52" i="66"/>
  <c r="E41" i="66"/>
  <c r="J22" i="66"/>
  <c r="Y22" i="66" s="1"/>
  <c r="J19" i="66"/>
  <c r="Y19" i="66" s="1"/>
  <c r="J21" i="66"/>
  <c r="Y21" i="66" s="1"/>
  <c r="J30" i="66"/>
  <c r="Y30" i="66" s="1"/>
  <c r="J17" i="66"/>
  <c r="Y17" i="66" s="1"/>
  <c r="J23" i="66"/>
  <c r="Y23" i="66" s="1"/>
  <c r="J26" i="66"/>
  <c r="Y26" i="66" s="1"/>
  <c r="J18" i="66"/>
  <c r="Y18" i="66" s="1"/>
  <c r="E42" i="66"/>
  <c r="E47" i="66"/>
  <c r="E48" i="66"/>
  <c r="J24" i="66"/>
  <c r="Y24" i="66" s="1"/>
  <c r="J16" i="66"/>
  <c r="Y16" i="66" s="1"/>
  <c r="E40" i="66"/>
  <c r="J20" i="66"/>
  <c r="Y20" i="66" s="1"/>
  <c r="L37" i="54" l="1"/>
  <c r="R37" i="54" s="1"/>
  <c r="AE37" i="54" s="1"/>
  <c r="Q37" i="54"/>
  <c r="L36" i="54"/>
  <c r="R36" i="54" s="1"/>
  <c r="AE36" i="54" s="1"/>
  <c r="Q36" i="54"/>
  <c r="L38" i="54"/>
  <c r="R38" i="54" s="1"/>
  <c r="AE38" i="54" s="1"/>
  <c r="Q38" i="54"/>
  <c r="AG23" i="68"/>
  <c r="AG14" i="68"/>
  <c r="U26" i="68"/>
  <c r="V26" i="68" s="1"/>
  <c r="AN26" i="68" s="1"/>
  <c r="AL50" i="68"/>
  <c r="AG22" i="68"/>
  <c r="N26" i="68"/>
  <c r="X50" i="68"/>
  <c r="P26" i="68" s="1"/>
  <c r="AL26" i="68" s="1"/>
  <c r="R26" i="68"/>
  <c r="AB26" i="68" s="1"/>
  <c r="AB50" i="68"/>
  <c r="S26" i="68" s="1"/>
  <c r="AM26" i="68" s="1"/>
  <c r="M38" i="54" l="1"/>
  <c r="S38" i="54" s="1"/>
  <c r="AF38" i="54" s="1"/>
  <c r="AD38" i="54"/>
  <c r="M36" i="54"/>
  <c r="S36" i="54" s="1"/>
  <c r="AF36" i="54" s="1"/>
  <c r="M37" i="54"/>
  <c r="S37" i="54" s="1"/>
  <c r="AF37" i="54" s="1"/>
  <c r="AD36" i="54"/>
  <c r="AD37" i="54"/>
  <c r="AG26" i="68"/>
  <c r="N25" i="23"/>
  <c r="H25" i="24"/>
  <c r="Z24" i="24"/>
  <c r="N24" i="24"/>
  <c r="AO38" i="54" l="1"/>
  <c r="AD14" i="54" s="1"/>
  <c r="Z38" i="54"/>
  <c r="Z37" i="54"/>
  <c r="R13" i="54" s="1"/>
  <c r="AB13" i="54" s="1"/>
  <c r="V38" i="54"/>
  <c r="X38" i="54" s="1"/>
  <c r="P14" i="54" s="1"/>
  <c r="AL14" i="54" s="1"/>
  <c r="AJ38" i="54"/>
  <c r="V37" i="54"/>
  <c r="AJ37" i="54"/>
  <c r="Z36" i="54"/>
  <c r="R12" i="54" s="1"/>
  <c r="AB12" i="54" s="1"/>
  <c r="AJ36" i="54"/>
  <c r="AN36" i="54"/>
  <c r="AC12" i="54" s="1"/>
  <c r="V36" i="54"/>
  <c r="N12" i="54" s="1"/>
  <c r="AO36" i="54"/>
  <c r="AD12" i="54" s="1"/>
  <c r="AO37" i="54"/>
  <c r="AD13" i="54" s="1"/>
  <c r="AN38" i="54"/>
  <c r="AC14" i="54" s="1"/>
  <c r="AN37" i="54"/>
  <c r="AC13" i="54" s="1"/>
  <c r="R14" i="54"/>
  <c r="AB14" i="54" s="1"/>
  <c r="AB38" i="54"/>
  <c r="S14" i="54" s="1"/>
  <c r="AM14" i="54" s="1"/>
  <c r="N13" i="54"/>
  <c r="X37" i="54"/>
  <c r="P13" i="54" s="1"/>
  <c r="AL13" i="54" s="1"/>
  <c r="AE14" i="54"/>
  <c r="O18" i="16"/>
  <c r="O19" i="16"/>
  <c r="O21" i="16"/>
  <c r="O22" i="16"/>
  <c r="N24" i="16"/>
  <c r="N23" i="16"/>
  <c r="N22" i="16"/>
  <c r="N21" i="16"/>
  <c r="N20" i="16"/>
  <c r="N19" i="16"/>
  <c r="N18" i="16"/>
  <c r="AB36" i="54" l="1"/>
  <c r="S12" i="54" s="1"/>
  <c r="AM12" i="54" s="1"/>
  <c r="N14" i="54"/>
  <c r="AG14" i="54"/>
  <c r="AB37" i="54"/>
  <c r="S13" i="54" s="1"/>
  <c r="AM13" i="54" s="1"/>
  <c r="AE12" i="54"/>
  <c r="AE13" i="54"/>
  <c r="X36" i="54"/>
  <c r="P12" i="54" s="1"/>
  <c r="AL12" i="54" s="1"/>
  <c r="AG12" i="54"/>
  <c r="AG13" i="54"/>
  <c r="N36" i="17"/>
  <c r="O36" i="17"/>
  <c r="P36" i="17"/>
  <c r="T36" i="17" s="1"/>
  <c r="R36" i="17"/>
  <c r="S36" i="17"/>
  <c r="Y36" i="17"/>
  <c r="Z36" i="17"/>
  <c r="AA36" i="17"/>
  <c r="N17" i="22" l="1"/>
  <c r="N16" i="22"/>
  <c r="M97" i="44" l="1"/>
  <c r="M98" i="44"/>
  <c r="M100" i="44"/>
  <c r="M101" i="44"/>
  <c r="M102" i="44"/>
  <c r="M103" i="44"/>
  <c r="M104" i="44"/>
  <c r="M105" i="44"/>
  <c r="M106" i="44"/>
  <c r="M107" i="44"/>
  <c r="M108" i="44"/>
  <c r="M109" i="44"/>
  <c r="M110" i="44"/>
  <c r="M111" i="44"/>
  <c r="H25" i="22" l="1"/>
  <c r="N25" i="22" l="1"/>
  <c r="G94" i="44" l="1"/>
  <c r="G95" i="44"/>
  <c r="G96" i="44"/>
  <c r="G97" i="44"/>
  <c r="G98" i="44"/>
  <c r="G99" i="44"/>
  <c r="G100" i="44"/>
  <c r="G101" i="44"/>
  <c r="G102" i="44"/>
  <c r="G103" i="44"/>
  <c r="G104" i="44"/>
  <c r="G105" i="44"/>
  <c r="G106" i="44"/>
  <c r="G107" i="44"/>
  <c r="G108" i="44"/>
  <c r="G109" i="44"/>
  <c r="G110" i="44"/>
  <c r="G111" i="44"/>
  <c r="J92" i="44"/>
  <c r="L92" i="44"/>
  <c r="N92" i="44"/>
  <c r="H92" i="44"/>
  <c r="H98" i="44"/>
  <c r="J98" i="44"/>
  <c r="L98" i="44"/>
  <c r="N98" i="44"/>
  <c r="H99" i="44"/>
  <c r="J99" i="44"/>
  <c r="L99" i="44"/>
  <c r="N99" i="44"/>
  <c r="H100" i="44"/>
  <c r="J100" i="44"/>
  <c r="L100" i="44"/>
  <c r="N100" i="44"/>
  <c r="H101" i="44"/>
  <c r="J101" i="44"/>
  <c r="L101" i="44"/>
  <c r="N101" i="44"/>
  <c r="H102" i="44"/>
  <c r="J102" i="44"/>
  <c r="L102" i="44"/>
  <c r="N102" i="44"/>
  <c r="H103" i="44"/>
  <c r="J103" i="44"/>
  <c r="L103" i="44"/>
  <c r="N103" i="44"/>
  <c r="H104" i="44"/>
  <c r="J104" i="44"/>
  <c r="L104" i="44"/>
  <c r="N104" i="44"/>
  <c r="H105" i="44"/>
  <c r="J105" i="44"/>
  <c r="L105" i="44"/>
  <c r="N105" i="44"/>
  <c r="H106" i="44"/>
  <c r="J106" i="44"/>
  <c r="L106" i="44"/>
  <c r="N106" i="44"/>
  <c r="H107" i="44"/>
  <c r="J107" i="44"/>
  <c r="L107" i="44"/>
  <c r="N107" i="44"/>
  <c r="H108" i="44"/>
  <c r="J108" i="44"/>
  <c r="L108" i="44"/>
  <c r="N108" i="44"/>
  <c r="H109" i="44"/>
  <c r="J109" i="44"/>
  <c r="L109" i="44"/>
  <c r="N109" i="44"/>
  <c r="H110" i="44"/>
  <c r="J110" i="44"/>
  <c r="L110" i="44"/>
  <c r="N110" i="44"/>
  <c r="H111" i="44"/>
  <c r="J111" i="44"/>
  <c r="L111" i="44"/>
  <c r="N111" i="44"/>
  <c r="H94" i="44"/>
  <c r="J94" i="44"/>
  <c r="L94" i="44"/>
  <c r="N94" i="44"/>
  <c r="H95" i="44"/>
  <c r="J95" i="44"/>
  <c r="L95" i="44"/>
  <c r="N95" i="44"/>
  <c r="H96" i="44"/>
  <c r="J96" i="44"/>
  <c r="L96" i="44"/>
  <c r="N96" i="44"/>
  <c r="J97" i="44"/>
  <c r="L97" i="44"/>
  <c r="N97" i="44"/>
  <c r="H97" i="44"/>
  <c r="E112" i="44" l="1"/>
  <c r="N112" i="44" s="1"/>
  <c r="D112" i="44"/>
  <c r="L112" i="44" s="1"/>
  <c r="C112" i="44"/>
  <c r="J112" i="44" s="1"/>
  <c r="B112" i="44"/>
  <c r="H112" i="44" s="1"/>
  <c r="I25" i="22" l="1"/>
  <c r="C10" i="28" l="1"/>
  <c r="K33" i="41" l="1"/>
  <c r="L33" i="41" s="1"/>
  <c r="L32" i="41" s="1"/>
  <c r="H33" i="41"/>
  <c r="G33" i="41"/>
  <c r="H32" i="41"/>
  <c r="G32" i="41"/>
  <c r="K32" i="41" s="1"/>
  <c r="K31" i="41"/>
  <c r="H31" i="41"/>
  <c r="G31" i="41"/>
  <c r="H30" i="41"/>
  <c r="K30" i="41" s="1"/>
  <c r="G30" i="41"/>
  <c r="L31" i="41" l="1"/>
  <c r="X20" i="44"/>
  <c r="X19" i="44"/>
  <c r="X18" i="44"/>
  <c r="X22" i="44"/>
  <c r="X23" i="44"/>
  <c r="X24" i="44"/>
  <c r="X25" i="44"/>
  <c r="X26" i="44"/>
  <c r="X27" i="44"/>
  <c r="X28" i="44"/>
  <c r="X29" i="44"/>
  <c r="X30" i="44"/>
  <c r="X31" i="44"/>
  <c r="X32" i="44"/>
  <c r="X33" i="44"/>
  <c r="X34" i="44"/>
  <c r="X35" i="44"/>
  <c r="L30" i="41" l="1"/>
  <c r="X21" i="44"/>
  <c r="X115" i="44"/>
  <c r="X114" i="44"/>
  <c r="X113" i="44"/>
  <c r="X112" i="44"/>
  <c r="X111" i="44"/>
  <c r="X110" i="44"/>
  <c r="X109" i="44"/>
  <c r="X108" i="44"/>
  <c r="X107" i="44"/>
  <c r="X106" i="44"/>
  <c r="X105" i="44"/>
  <c r="X104" i="44"/>
  <c r="X103" i="44"/>
  <c r="X102" i="44"/>
  <c r="X101" i="44"/>
  <c r="X100" i="44"/>
  <c r="X64" i="44"/>
  <c r="AD36" i="44" l="1"/>
  <c r="AD35" i="44"/>
  <c r="AD34" i="44"/>
  <c r="AD33" i="44"/>
  <c r="AD32" i="44"/>
  <c r="AD31" i="44"/>
  <c r="AD30" i="44"/>
  <c r="AD29" i="44"/>
  <c r="AD28" i="44"/>
  <c r="AD27" i="44"/>
  <c r="AD26" i="44"/>
  <c r="AD25" i="44"/>
  <c r="AD24" i="44"/>
  <c r="AD23" i="44"/>
  <c r="AD22" i="44"/>
  <c r="AD21" i="44"/>
  <c r="K25" i="22" l="1"/>
  <c r="Q25" i="22" s="1"/>
  <c r="W25" i="22" s="1"/>
  <c r="AC25" i="22" s="1"/>
  <c r="J25" i="22"/>
  <c r="P25" i="22" s="1"/>
  <c r="V25" i="22" s="1"/>
  <c r="AB25" i="22" s="1"/>
  <c r="O22" i="22"/>
  <c r="K22" i="22"/>
  <c r="O22" i="23"/>
  <c r="K22" i="23"/>
  <c r="K25" i="24"/>
  <c r="Q25" i="24" s="1"/>
  <c r="W25" i="24" s="1"/>
  <c r="AC25" i="24" s="1"/>
  <c r="J25" i="24"/>
  <c r="P25" i="24" s="1"/>
  <c r="V25" i="24" s="1"/>
  <c r="AB25" i="24" s="1"/>
  <c r="O22" i="24"/>
  <c r="K22" i="24"/>
  <c r="T22" i="19"/>
  <c r="Z22" i="19" s="1"/>
  <c r="K25" i="19"/>
  <c r="Q25" i="19" s="1"/>
  <c r="W25" i="19" s="1"/>
  <c r="AC25" i="19" s="1"/>
  <c r="J25" i="19"/>
  <c r="P25" i="19" s="1"/>
  <c r="V25" i="19" s="1"/>
  <c r="AB25" i="19" s="1"/>
  <c r="J24" i="19"/>
  <c r="P24" i="19" s="1"/>
  <c r="O22" i="19"/>
  <c r="K22" i="19"/>
  <c r="O22" i="12"/>
  <c r="K22" i="12"/>
  <c r="U22" i="22" l="1"/>
  <c r="U22" i="19"/>
  <c r="AA22" i="19" s="1"/>
  <c r="U22" i="23"/>
  <c r="U22" i="24"/>
  <c r="AB24" i="19"/>
  <c r="AA22" i="24" l="1"/>
  <c r="AA22" i="23"/>
  <c r="AA22" i="22"/>
  <c r="W101" i="44" l="1"/>
  <c r="W102" i="44"/>
  <c r="W103" i="44"/>
  <c r="W104" i="44"/>
  <c r="W105" i="44"/>
  <c r="W106" i="44"/>
  <c r="W107" i="44"/>
  <c r="W108" i="44"/>
  <c r="W109" i="44"/>
  <c r="W110" i="44"/>
  <c r="W111" i="44"/>
  <c r="W112" i="44"/>
  <c r="W113" i="44"/>
  <c r="W114" i="44"/>
  <c r="W115" i="44"/>
  <c r="W100" i="44"/>
  <c r="K24" i="22" l="1"/>
  <c r="AC24" i="22" l="1"/>
  <c r="Q24" i="22"/>
  <c r="K24" i="23"/>
  <c r="K24" i="19"/>
  <c r="K24" i="12"/>
  <c r="K24" i="24"/>
  <c r="K57" i="44"/>
  <c r="L57" i="44"/>
  <c r="K58" i="44"/>
  <c r="L58" i="44"/>
  <c r="K59" i="44"/>
  <c r="L59" i="44"/>
  <c r="K60" i="44"/>
  <c r="L60" i="44"/>
  <c r="K61" i="44"/>
  <c r="L61" i="44"/>
  <c r="L55" i="44"/>
  <c r="K55" i="44"/>
  <c r="L54" i="44"/>
  <c r="K54" i="44"/>
  <c r="L53" i="44"/>
  <c r="K53" i="44"/>
  <c r="L52" i="44"/>
  <c r="K52" i="44"/>
  <c r="L51" i="44"/>
  <c r="K51" i="44"/>
  <c r="L50" i="44"/>
  <c r="K50" i="44"/>
  <c r="L49" i="44"/>
  <c r="K49" i="44"/>
  <c r="L48" i="44"/>
  <c r="K48" i="44"/>
  <c r="L47" i="44"/>
  <c r="K47" i="44"/>
  <c r="L46" i="44"/>
  <c r="K46" i="44"/>
  <c r="L45" i="44"/>
  <c r="K45" i="44"/>
  <c r="L44" i="44"/>
  <c r="K44" i="44"/>
  <c r="AC24" i="24" l="1"/>
  <c r="Q24" i="24"/>
  <c r="AC24" i="19"/>
  <c r="Q24" i="19"/>
  <c r="AC24" i="23"/>
  <c r="Q24" i="23"/>
  <c r="L40" i="44"/>
  <c r="K40" i="44"/>
  <c r="L28" i="44"/>
  <c r="L29" i="44"/>
  <c r="L30" i="44"/>
  <c r="L31" i="44"/>
  <c r="L32" i="44"/>
  <c r="L33" i="44"/>
  <c r="L34" i="44"/>
  <c r="L35" i="44"/>
  <c r="L36" i="44"/>
  <c r="L37" i="44"/>
  <c r="L38" i="44"/>
  <c r="L39" i="44"/>
  <c r="L27" i="44"/>
  <c r="K39" i="44"/>
  <c r="K38" i="44"/>
  <c r="K37" i="44"/>
  <c r="K36" i="44"/>
  <c r="K35" i="44"/>
  <c r="K34" i="44"/>
  <c r="K33" i="44"/>
  <c r="K32" i="44"/>
  <c r="K31" i="44"/>
  <c r="K30" i="44"/>
  <c r="K29" i="44"/>
  <c r="K28" i="44"/>
  <c r="K27" i="44"/>
  <c r="J30" i="36" l="1"/>
  <c r="H54" i="36" s="1"/>
  <c r="J29" i="36"/>
  <c r="H48" i="36" s="1"/>
  <c r="J28" i="36"/>
  <c r="H53" i="36" s="1"/>
  <c r="J27" i="36"/>
  <c r="H52" i="36" s="1"/>
  <c r="J26" i="36"/>
  <c r="H51" i="36" s="1"/>
  <c r="J25" i="36"/>
  <c r="H50" i="36" s="1"/>
  <c r="J24" i="36"/>
  <c r="H49" i="36" s="1"/>
  <c r="J23" i="36"/>
  <c r="H47" i="36" s="1"/>
  <c r="J22" i="36"/>
  <c r="H45" i="36" s="1"/>
  <c r="J21" i="36"/>
  <c r="H46" i="36" s="1"/>
  <c r="J20" i="36"/>
  <c r="J19" i="36"/>
  <c r="H44" i="36" s="1"/>
  <c r="J18" i="36"/>
  <c r="H43" i="36" s="1"/>
  <c r="J17" i="36"/>
  <c r="H42" i="36" s="1"/>
  <c r="J16" i="36"/>
  <c r="J15" i="36"/>
  <c r="H41" i="36" s="1"/>
  <c r="J14" i="36"/>
  <c r="H40" i="36" s="1"/>
  <c r="J13" i="36"/>
  <c r="H39" i="36" s="1"/>
  <c r="D14" i="4" l="1"/>
  <c r="D4" i="4" s="1"/>
  <c r="P22" i="23" l="1"/>
  <c r="P22" i="24"/>
  <c r="P22" i="19"/>
  <c r="P22" i="12"/>
  <c r="P22" i="22"/>
  <c r="AB22" i="24"/>
  <c r="V22" i="19"/>
  <c r="V22" i="24"/>
  <c r="V22" i="23"/>
  <c r="V22" i="22"/>
  <c r="AB22" i="23"/>
  <c r="AB22" i="19"/>
  <c r="AB22" i="22"/>
  <c r="O10" i="19"/>
  <c r="N11" i="19"/>
  <c r="O12" i="19"/>
  <c r="P12" i="19"/>
  <c r="B5" i="36" l="1"/>
  <c r="O5" i="36" s="1"/>
  <c r="B6" i="36"/>
  <c r="B7" i="36"/>
  <c r="B8" i="36"/>
  <c r="O4" i="36" s="1"/>
  <c r="B4" i="36"/>
  <c r="O6" i="36" s="1"/>
  <c r="C5" i="36"/>
  <c r="C6" i="36"/>
  <c r="C7" i="36"/>
  <c r="C8" i="36"/>
  <c r="C4" i="36"/>
  <c r="E8" i="36" l="1"/>
  <c r="T4" i="36" s="1"/>
  <c r="E6" i="36"/>
  <c r="E4" i="36"/>
  <c r="E7" i="36"/>
  <c r="E5" i="36"/>
  <c r="T5" i="36" s="1"/>
  <c r="AE11" i="20"/>
  <c r="AG3" i="20"/>
  <c r="AH3" i="20"/>
  <c r="AI3" i="20"/>
  <c r="AK3" i="20" s="1"/>
  <c r="AG4" i="20"/>
  <c r="AH4" i="20"/>
  <c r="AG5" i="20"/>
  <c r="AI5" i="20" s="1"/>
  <c r="AK5" i="20" s="1"/>
  <c r="AH5" i="20"/>
  <c r="AG6" i="20"/>
  <c r="AH6" i="20"/>
  <c r="AK6" i="20"/>
  <c r="AL6" i="20"/>
  <c r="AL5" i="20" s="1"/>
  <c r="AL4" i="20" s="1"/>
  <c r="AL3" i="20" s="1"/>
  <c r="C18" i="28"/>
  <c r="Q36" i="36" l="1"/>
  <c r="T6" i="36"/>
  <c r="T7" i="36"/>
  <c r="C6" i="37"/>
  <c r="D6" i="37"/>
  <c r="E6" i="37"/>
  <c r="F6" i="37"/>
  <c r="G6" i="37"/>
  <c r="H6" i="37"/>
  <c r="I6" i="37"/>
  <c r="J6" i="37"/>
  <c r="K6" i="37"/>
  <c r="L6" i="37"/>
  <c r="M6" i="37"/>
  <c r="N6" i="37"/>
  <c r="O6" i="37"/>
  <c r="P6" i="37"/>
  <c r="Q6" i="37"/>
  <c r="R6" i="37"/>
  <c r="S6" i="37"/>
  <c r="T6" i="37"/>
  <c r="U6" i="37"/>
  <c r="V6" i="37"/>
  <c r="W6" i="37"/>
  <c r="X6" i="37"/>
  <c r="Y6" i="37"/>
  <c r="Z6" i="37"/>
  <c r="AA6" i="37"/>
  <c r="AB6" i="37"/>
  <c r="AC6" i="37"/>
  <c r="AD6" i="37"/>
  <c r="AE6" i="37"/>
  <c r="AF6" i="37"/>
  <c r="AG6" i="37"/>
  <c r="AH6" i="37"/>
  <c r="AI6" i="37"/>
  <c r="AJ6" i="37"/>
  <c r="AK6" i="37"/>
  <c r="AL6" i="37"/>
  <c r="AM6" i="37"/>
  <c r="AN6" i="37"/>
  <c r="AO6" i="37"/>
  <c r="AP6" i="37"/>
  <c r="AQ6" i="37"/>
  <c r="AR6" i="37"/>
  <c r="AS6" i="37"/>
  <c r="AT6" i="37"/>
  <c r="AU6" i="37"/>
  <c r="AV6" i="37"/>
  <c r="AW6" i="37"/>
  <c r="AX6" i="37"/>
  <c r="AY6" i="37"/>
  <c r="AZ6" i="37"/>
  <c r="BA6" i="37"/>
  <c r="BB6" i="37"/>
  <c r="BC6" i="37"/>
  <c r="BD6" i="37"/>
  <c r="BE6" i="37"/>
  <c r="BF6" i="37"/>
  <c r="BG6" i="37"/>
  <c r="BH6" i="37"/>
  <c r="BI6" i="37"/>
  <c r="BJ6" i="37"/>
  <c r="BK6" i="37"/>
  <c r="BL6" i="37"/>
  <c r="BM6" i="37"/>
  <c r="BN6" i="37"/>
  <c r="BO6" i="37"/>
  <c r="BP6" i="37"/>
  <c r="BQ6" i="37"/>
  <c r="BR6" i="37"/>
  <c r="BS6" i="37"/>
  <c r="BT6" i="37"/>
  <c r="BU6" i="37"/>
  <c r="BV6" i="37"/>
  <c r="BW6" i="37"/>
  <c r="BX6" i="37"/>
  <c r="BY6" i="37"/>
  <c r="BZ6" i="37"/>
  <c r="CA6" i="37"/>
  <c r="CB6" i="37"/>
  <c r="CC6" i="37"/>
  <c r="C7" i="37"/>
  <c r="D7" i="37"/>
  <c r="E7" i="37"/>
  <c r="F7" i="37"/>
  <c r="G7" i="37"/>
  <c r="H7" i="37"/>
  <c r="I7" i="37"/>
  <c r="J7" i="37"/>
  <c r="K7" i="37"/>
  <c r="L7" i="37"/>
  <c r="M7" i="37"/>
  <c r="N7" i="37"/>
  <c r="O7" i="37"/>
  <c r="P7" i="37"/>
  <c r="Q7" i="37"/>
  <c r="R7" i="37"/>
  <c r="S7" i="37"/>
  <c r="T7" i="37"/>
  <c r="U7" i="37"/>
  <c r="V7" i="37"/>
  <c r="W7" i="37"/>
  <c r="X7" i="37"/>
  <c r="Y7" i="37"/>
  <c r="Z7" i="37"/>
  <c r="AA7" i="37"/>
  <c r="AB7" i="37"/>
  <c r="AC7" i="37"/>
  <c r="AD7" i="37"/>
  <c r="AE7" i="37"/>
  <c r="AF7" i="37"/>
  <c r="AG7" i="37"/>
  <c r="AH7" i="37"/>
  <c r="AI7" i="37"/>
  <c r="AJ7" i="37"/>
  <c r="AK7" i="37"/>
  <c r="AL7" i="37"/>
  <c r="AM7" i="37"/>
  <c r="AN7" i="37"/>
  <c r="AO7" i="37"/>
  <c r="AP7" i="37"/>
  <c r="AQ7" i="37"/>
  <c r="AR7" i="37"/>
  <c r="AS7" i="37"/>
  <c r="AT7" i="37"/>
  <c r="AU7" i="37"/>
  <c r="AV7" i="37"/>
  <c r="AW7" i="37"/>
  <c r="AX7" i="37"/>
  <c r="AY7" i="37"/>
  <c r="AZ7" i="37"/>
  <c r="BA7" i="37"/>
  <c r="BB7" i="37"/>
  <c r="BC7" i="37"/>
  <c r="BD7" i="37"/>
  <c r="BE7" i="37"/>
  <c r="BF7" i="37"/>
  <c r="BG7" i="37"/>
  <c r="BH7" i="37"/>
  <c r="BI7" i="37"/>
  <c r="BJ7" i="37"/>
  <c r="BK7" i="37"/>
  <c r="BL7" i="37"/>
  <c r="BM7" i="37"/>
  <c r="BN7" i="37"/>
  <c r="BO7" i="37"/>
  <c r="BP7" i="37"/>
  <c r="BQ7" i="37"/>
  <c r="BR7" i="37"/>
  <c r="BS7" i="37"/>
  <c r="BT7" i="37"/>
  <c r="BU7" i="37"/>
  <c r="BV7" i="37"/>
  <c r="BW7" i="37"/>
  <c r="BX7" i="37"/>
  <c r="BY7" i="37"/>
  <c r="BZ7" i="37"/>
  <c r="CA7" i="37"/>
  <c r="CB7" i="37"/>
  <c r="CC7" i="37"/>
  <c r="C8" i="37"/>
  <c r="D8" i="37"/>
  <c r="E8" i="37"/>
  <c r="F8" i="37"/>
  <c r="G8" i="37"/>
  <c r="H8" i="37"/>
  <c r="I8" i="37"/>
  <c r="J8" i="37"/>
  <c r="K8" i="37"/>
  <c r="L8" i="37"/>
  <c r="M8" i="37"/>
  <c r="N8" i="37"/>
  <c r="O8" i="37"/>
  <c r="P8" i="37"/>
  <c r="Q8" i="37"/>
  <c r="R8" i="37"/>
  <c r="S8" i="37"/>
  <c r="T8" i="37"/>
  <c r="U8" i="37"/>
  <c r="V8" i="37"/>
  <c r="W8" i="37"/>
  <c r="X8" i="37"/>
  <c r="Y8" i="37"/>
  <c r="Z8" i="37"/>
  <c r="AA8" i="37"/>
  <c r="AB8" i="37"/>
  <c r="AC8" i="37"/>
  <c r="AD8" i="37"/>
  <c r="AE8" i="37"/>
  <c r="AF8" i="37"/>
  <c r="AG8" i="37"/>
  <c r="AH8" i="37"/>
  <c r="AI8" i="37"/>
  <c r="AJ8" i="37"/>
  <c r="AK8" i="37"/>
  <c r="AL8" i="37"/>
  <c r="AM8" i="37"/>
  <c r="AN8" i="37"/>
  <c r="AO8" i="37"/>
  <c r="AP8" i="37"/>
  <c r="AQ8" i="37"/>
  <c r="AR8" i="37"/>
  <c r="AS8" i="37"/>
  <c r="AT8" i="37"/>
  <c r="AU8" i="37"/>
  <c r="AV8" i="37"/>
  <c r="AW8" i="37"/>
  <c r="AX8" i="37"/>
  <c r="AY8" i="37"/>
  <c r="AZ8" i="37"/>
  <c r="BA8" i="37"/>
  <c r="BB8" i="37"/>
  <c r="BC8" i="37"/>
  <c r="BD8" i="37"/>
  <c r="BE8" i="37"/>
  <c r="BF8" i="37"/>
  <c r="BG8" i="37"/>
  <c r="BH8" i="37"/>
  <c r="BI8" i="37"/>
  <c r="BJ8" i="37"/>
  <c r="BK8" i="37"/>
  <c r="BL8" i="37"/>
  <c r="BM8" i="37"/>
  <c r="BN8" i="37"/>
  <c r="BO8" i="37"/>
  <c r="BP8" i="37"/>
  <c r="BQ8" i="37"/>
  <c r="BR8" i="37"/>
  <c r="BS8" i="37"/>
  <c r="BT8" i="37"/>
  <c r="BU8" i="37"/>
  <c r="BV8" i="37"/>
  <c r="BW8" i="37"/>
  <c r="BX8" i="37"/>
  <c r="BY8" i="37"/>
  <c r="BZ8" i="37"/>
  <c r="CA8" i="37"/>
  <c r="CB8" i="37"/>
  <c r="CC8" i="37"/>
  <c r="E11" i="37"/>
  <c r="F11" i="37"/>
  <c r="I11" i="37"/>
  <c r="J11" i="37"/>
  <c r="M11" i="37"/>
  <c r="N11" i="37"/>
  <c r="Q11" i="37"/>
  <c r="T11" i="37"/>
  <c r="U11" i="37"/>
  <c r="X11" i="37"/>
  <c r="Y11" i="37"/>
  <c r="AB11" i="37"/>
  <c r="AC11" i="37"/>
  <c r="AF11" i="37"/>
  <c r="AG11" i="37"/>
  <c r="AJ11" i="37"/>
  <c r="AK11" i="37"/>
  <c r="AN11" i="37"/>
  <c r="AO11" i="37"/>
  <c r="AR11" i="37"/>
  <c r="AS11" i="37"/>
  <c r="AV11" i="37"/>
  <c r="AW11" i="37"/>
  <c r="AZ11" i="37"/>
  <c r="BA11" i="37"/>
  <c r="BD11" i="37"/>
  <c r="BE11" i="37"/>
  <c r="BH11" i="37"/>
  <c r="BI11" i="37"/>
  <c r="BL11" i="37"/>
  <c r="BM11" i="37"/>
  <c r="BP11" i="37"/>
  <c r="BQ11" i="37"/>
  <c r="BT11" i="37"/>
  <c r="BU11" i="37"/>
  <c r="BX11" i="37"/>
  <c r="BY11" i="37"/>
  <c r="CB11" i="37"/>
  <c r="CC11" i="37"/>
  <c r="E12" i="37"/>
  <c r="F12" i="37"/>
  <c r="I12" i="37"/>
  <c r="J12" i="37"/>
  <c r="M12" i="37"/>
  <c r="N12" i="37"/>
  <c r="Q12" i="37"/>
  <c r="T12" i="37"/>
  <c r="U12" i="37"/>
  <c r="X12" i="37"/>
  <c r="Y12" i="37"/>
  <c r="AB12" i="37"/>
  <c r="AC12" i="37"/>
  <c r="AF12" i="37"/>
  <c r="AG12" i="37"/>
  <c r="AJ12" i="37"/>
  <c r="AK12" i="37"/>
  <c r="AN12" i="37"/>
  <c r="AO12" i="37"/>
  <c r="AR12" i="37"/>
  <c r="AS12" i="37"/>
  <c r="AV12" i="37"/>
  <c r="AW12" i="37"/>
  <c r="AZ12" i="37"/>
  <c r="BA12" i="37"/>
  <c r="BD12" i="37"/>
  <c r="BE12" i="37"/>
  <c r="BH12" i="37"/>
  <c r="BI12" i="37"/>
  <c r="BL12" i="37"/>
  <c r="BM12" i="37"/>
  <c r="BP12" i="37"/>
  <c r="BQ12" i="37"/>
  <c r="BT12" i="37"/>
  <c r="BU12" i="37"/>
  <c r="BX12" i="37"/>
  <c r="BY12" i="37"/>
  <c r="CB12" i="37"/>
  <c r="CC12" i="37"/>
  <c r="BN5" i="37" l="1"/>
  <c r="CA5" i="37"/>
  <c r="BZ5" i="37"/>
  <c r="BW5" i="37"/>
  <c r="BV5" i="37"/>
  <c r="BS5" i="37"/>
  <c r="BR5" i="37"/>
  <c r="BO5" i="37"/>
  <c r="BK5" i="37"/>
  <c r="BG5" i="37"/>
  <c r="BC5" i="37"/>
  <c r="AY5" i="37"/>
  <c r="AX5" i="37"/>
  <c r="AU5" i="37"/>
  <c r="AT5" i="37"/>
  <c r="AQ5" i="37"/>
  <c r="AP5" i="37"/>
  <c r="AM5" i="37"/>
  <c r="AL5" i="37"/>
  <c r="AI5" i="37"/>
  <c r="AH5" i="37"/>
  <c r="AE5" i="37"/>
  <c r="AD5" i="37"/>
  <c r="AA5" i="37"/>
  <c r="Z5" i="37"/>
  <c r="W5" i="37"/>
  <c r="V5" i="37"/>
  <c r="S5" i="37"/>
  <c r="R5" i="37"/>
  <c r="BJ5" i="37"/>
  <c r="BF5" i="37"/>
  <c r="BB5" i="37"/>
  <c r="O5" i="37"/>
  <c r="K5" i="37"/>
  <c r="G5" i="37"/>
  <c r="C5" i="37"/>
  <c r="N5" i="37"/>
  <c r="J5" i="37"/>
  <c r="F5" i="37"/>
  <c r="CC5" i="37"/>
  <c r="BY5" i="37"/>
  <c r="BU5" i="37"/>
  <c r="BQ5" i="37"/>
  <c r="BM5" i="37"/>
  <c r="BI5" i="37"/>
  <c r="BE5" i="37"/>
  <c r="BA5" i="37"/>
  <c r="AW5" i="37"/>
  <c r="AS5" i="37"/>
  <c r="AO5" i="37"/>
  <c r="AK5" i="37"/>
  <c r="AG5" i="37"/>
  <c r="AC5" i="37"/>
  <c r="Y5" i="37"/>
  <c r="U5" i="37"/>
  <c r="Q5" i="37"/>
  <c r="M5" i="37"/>
  <c r="I5" i="37"/>
  <c r="E5" i="37"/>
  <c r="CB5" i="37"/>
  <c r="BX5" i="37"/>
  <c r="BT5" i="37"/>
  <c r="BP5" i="37"/>
  <c r="BL5" i="37"/>
  <c r="BH5" i="37"/>
  <c r="BD5" i="37"/>
  <c r="AZ5" i="37"/>
  <c r="AV5" i="37"/>
  <c r="AR5" i="37"/>
  <c r="AN5" i="37"/>
  <c r="AJ5" i="37"/>
  <c r="AF5" i="37"/>
  <c r="AB5" i="37"/>
  <c r="X5" i="37"/>
  <c r="T5" i="37"/>
  <c r="P5" i="37"/>
  <c r="L5" i="37"/>
  <c r="H5" i="37"/>
  <c r="D5" i="37"/>
  <c r="L84" i="22"/>
  <c r="BR13" i="37" s="1"/>
  <c r="U82" i="22"/>
  <c r="CA11" i="37" s="1"/>
  <c r="T82" i="22"/>
  <c r="BZ11" i="37" s="1"/>
  <c r="Q82" i="22"/>
  <c r="BW11" i="37" s="1"/>
  <c r="P82" i="22"/>
  <c r="BV11" i="37" s="1"/>
  <c r="M82" i="22"/>
  <c r="BS11" i="37" s="1"/>
  <c r="L82" i="22"/>
  <c r="BR11" i="37" s="1"/>
  <c r="W84" i="23"/>
  <c r="AW13" i="37" s="1"/>
  <c r="T84" i="23"/>
  <c r="AT13" i="37" s="1"/>
  <c r="P84" i="23"/>
  <c r="AP13" i="37" s="1"/>
  <c r="O84" i="23"/>
  <c r="AO13" i="37" s="1"/>
  <c r="L84" i="23"/>
  <c r="AL13" i="37" s="1"/>
  <c r="K84" i="23"/>
  <c r="AK13" i="37" s="1"/>
  <c r="U82" i="23"/>
  <c r="AU11" i="37" s="1"/>
  <c r="T82" i="23"/>
  <c r="AT11" i="37" s="1"/>
  <c r="Q82" i="23"/>
  <c r="AQ11" i="37" s="1"/>
  <c r="P82" i="23"/>
  <c r="AP11" i="37" s="1"/>
  <c r="M82" i="23"/>
  <c r="AM11" i="37" s="1"/>
  <c r="L82" i="23"/>
  <c r="AL11" i="37" s="1"/>
  <c r="V80" i="23"/>
  <c r="AV9" i="37" s="1"/>
  <c r="R80" i="23"/>
  <c r="AR9" i="37" s="1"/>
  <c r="N80" i="23"/>
  <c r="AN9" i="37" s="1"/>
  <c r="K80" i="23"/>
  <c r="AK9" i="37" s="1"/>
  <c r="T85" i="24"/>
  <c r="O14" i="37" s="1"/>
  <c r="P85" i="24"/>
  <c r="K14" i="37" s="1"/>
  <c r="L85" i="24"/>
  <c r="G14" i="37" s="1"/>
  <c r="H85" i="24"/>
  <c r="C14" i="37" s="1"/>
  <c r="T84" i="24"/>
  <c r="O13" i="37" s="1"/>
  <c r="P84" i="24"/>
  <c r="K13" i="37" s="1"/>
  <c r="L84" i="24"/>
  <c r="G13" i="37" s="1"/>
  <c r="K84" i="24"/>
  <c r="F13" i="37" s="1"/>
  <c r="T82" i="24"/>
  <c r="O11" i="37" s="1"/>
  <c r="P82" i="24"/>
  <c r="K11" i="37" s="1"/>
  <c r="L82" i="24"/>
  <c r="G11" i="37" s="1"/>
  <c r="H82" i="24"/>
  <c r="C11" i="37" s="1"/>
  <c r="K80" i="24"/>
  <c r="F9" i="37" s="1"/>
  <c r="T85" i="12"/>
  <c r="AD14" i="37" s="1"/>
  <c r="T84" i="12"/>
  <c r="AD13" i="37" s="1"/>
  <c r="P85" i="12"/>
  <c r="Z14" i="37" s="1"/>
  <c r="P84" i="12"/>
  <c r="Z13" i="37" s="1"/>
  <c r="T82" i="12"/>
  <c r="AD11" i="37" s="1"/>
  <c r="P82" i="12"/>
  <c r="Z11" i="37" s="1"/>
  <c r="L85" i="12"/>
  <c r="V14" i="37" s="1"/>
  <c r="L84" i="12"/>
  <c r="V13" i="37" s="1"/>
  <c r="L82" i="12"/>
  <c r="V11" i="37" s="1"/>
  <c r="H85" i="12"/>
  <c r="R14" i="37" s="1"/>
  <c r="M80" i="23" l="1"/>
  <c r="Q80" i="23"/>
  <c r="U80" i="23"/>
  <c r="I30" i="36"/>
  <c r="I14" i="36"/>
  <c r="I15" i="36"/>
  <c r="I16" i="36"/>
  <c r="I17" i="36"/>
  <c r="I18" i="36"/>
  <c r="I19" i="36"/>
  <c r="G44" i="36" s="1"/>
  <c r="I20" i="36"/>
  <c r="I21" i="36"/>
  <c r="I22" i="36"/>
  <c r="I23" i="36"/>
  <c r="G47" i="36" s="1"/>
  <c r="I24" i="36"/>
  <c r="I25" i="36"/>
  <c r="I26" i="36"/>
  <c r="I27" i="36"/>
  <c r="I28" i="36"/>
  <c r="I29" i="36"/>
  <c r="I13" i="36"/>
  <c r="F30" i="36"/>
  <c r="F54" i="36" s="1"/>
  <c r="E30" i="36"/>
  <c r="E54" i="36" s="1"/>
  <c r="D30" i="36"/>
  <c r="D54" i="36" s="1"/>
  <c r="C30" i="36"/>
  <c r="C54" i="36" s="1"/>
  <c r="B30" i="36"/>
  <c r="B54" i="36" s="1"/>
  <c r="F29" i="36"/>
  <c r="F48" i="36" s="1"/>
  <c r="E29" i="36"/>
  <c r="E48" i="36" s="1"/>
  <c r="D29" i="36"/>
  <c r="D48" i="36" s="1"/>
  <c r="C29" i="36"/>
  <c r="C48" i="36" s="1"/>
  <c r="B29" i="36"/>
  <c r="B48" i="36" s="1"/>
  <c r="F28" i="36"/>
  <c r="F53" i="36" s="1"/>
  <c r="E28" i="36"/>
  <c r="E53" i="36" s="1"/>
  <c r="D28" i="36"/>
  <c r="D53" i="36" s="1"/>
  <c r="C28" i="36"/>
  <c r="C53" i="36" s="1"/>
  <c r="B28" i="36"/>
  <c r="B53" i="36" s="1"/>
  <c r="F27" i="36"/>
  <c r="F52" i="36" s="1"/>
  <c r="E27" i="36"/>
  <c r="E52" i="36" s="1"/>
  <c r="D27" i="36"/>
  <c r="D52" i="36" s="1"/>
  <c r="C27" i="36"/>
  <c r="C52" i="36" s="1"/>
  <c r="B27" i="36"/>
  <c r="B52" i="36" s="1"/>
  <c r="F26" i="36"/>
  <c r="F51" i="36" s="1"/>
  <c r="E26" i="36"/>
  <c r="E51" i="36" s="1"/>
  <c r="D26" i="36"/>
  <c r="D51" i="36" s="1"/>
  <c r="C26" i="36"/>
  <c r="C51" i="36" s="1"/>
  <c r="B26" i="36"/>
  <c r="B51" i="36" s="1"/>
  <c r="F25" i="36"/>
  <c r="F50" i="36" s="1"/>
  <c r="E25" i="36"/>
  <c r="E50" i="36" s="1"/>
  <c r="D25" i="36"/>
  <c r="D50" i="36" s="1"/>
  <c r="C25" i="36"/>
  <c r="C50" i="36" s="1"/>
  <c r="B25" i="36"/>
  <c r="B50" i="36" s="1"/>
  <c r="F24" i="36"/>
  <c r="F49" i="36" s="1"/>
  <c r="E24" i="36"/>
  <c r="E49" i="36" s="1"/>
  <c r="D24" i="36"/>
  <c r="D49" i="36" s="1"/>
  <c r="C24" i="36"/>
  <c r="C49" i="36" s="1"/>
  <c r="B24" i="36"/>
  <c r="B49" i="36" s="1"/>
  <c r="F23" i="36"/>
  <c r="F47" i="36" s="1"/>
  <c r="E23" i="36"/>
  <c r="E47" i="36" s="1"/>
  <c r="D23" i="36"/>
  <c r="D47" i="36" s="1"/>
  <c r="L47" i="54" s="1"/>
  <c r="C23" i="36"/>
  <c r="C47" i="36" s="1"/>
  <c r="B23" i="36"/>
  <c r="B47" i="36" s="1"/>
  <c r="F22" i="36"/>
  <c r="F45" i="36" s="1"/>
  <c r="E22" i="36"/>
  <c r="E45" i="36" s="1"/>
  <c r="D22" i="36"/>
  <c r="D45" i="36" s="1"/>
  <c r="C22" i="36"/>
  <c r="C45" i="36" s="1"/>
  <c r="B22" i="36"/>
  <c r="B45" i="36" s="1"/>
  <c r="F21" i="36"/>
  <c r="F46" i="36" s="1"/>
  <c r="E21" i="36"/>
  <c r="E46" i="36" s="1"/>
  <c r="D21" i="36"/>
  <c r="D46" i="36" s="1"/>
  <c r="C21" i="36"/>
  <c r="C46" i="36" s="1"/>
  <c r="B21" i="36"/>
  <c r="B46" i="36" s="1"/>
  <c r="F20" i="36"/>
  <c r="E20" i="36"/>
  <c r="D20" i="36"/>
  <c r="C20" i="36"/>
  <c r="B20" i="36"/>
  <c r="F19" i="36"/>
  <c r="E19" i="36"/>
  <c r="D19" i="36"/>
  <c r="D44" i="36" s="1"/>
  <c r="C19" i="36"/>
  <c r="C44" i="36" s="1"/>
  <c r="B19" i="36"/>
  <c r="B44" i="36" s="1"/>
  <c r="F18" i="36"/>
  <c r="F43" i="36" s="1"/>
  <c r="E18" i="36"/>
  <c r="E43" i="36" s="1"/>
  <c r="D18" i="36"/>
  <c r="D43" i="36" s="1"/>
  <c r="C18" i="36"/>
  <c r="C43" i="36" s="1"/>
  <c r="B18" i="36"/>
  <c r="B43" i="36" s="1"/>
  <c r="F17" i="36"/>
  <c r="F42" i="36" s="1"/>
  <c r="E17" i="36"/>
  <c r="E42" i="36" s="1"/>
  <c r="D17" i="36"/>
  <c r="D42" i="36" s="1"/>
  <c r="C17" i="36"/>
  <c r="C42" i="36" s="1"/>
  <c r="B17" i="36"/>
  <c r="B42" i="36" s="1"/>
  <c r="F16" i="36"/>
  <c r="E16" i="36"/>
  <c r="E34" i="4" s="1"/>
  <c r="D16" i="36"/>
  <c r="C16" i="36"/>
  <c r="B16" i="36"/>
  <c r="F15" i="36"/>
  <c r="F41" i="36" s="1"/>
  <c r="E15" i="36"/>
  <c r="D15" i="36"/>
  <c r="D41" i="36" s="1"/>
  <c r="C15" i="36"/>
  <c r="C41" i="36" s="1"/>
  <c r="B15" i="36"/>
  <c r="B41" i="36" s="1"/>
  <c r="F14" i="36"/>
  <c r="F40" i="36" s="1"/>
  <c r="E14" i="36"/>
  <c r="E40" i="36" s="1"/>
  <c r="D14" i="36"/>
  <c r="D40" i="36" s="1"/>
  <c r="C14" i="36"/>
  <c r="C40" i="36" s="1"/>
  <c r="B14" i="36"/>
  <c r="B40" i="36" s="1"/>
  <c r="F13" i="36"/>
  <c r="F39" i="36" s="1"/>
  <c r="E13" i="36"/>
  <c r="D13" i="36"/>
  <c r="D39" i="36" s="1"/>
  <c r="C13" i="36"/>
  <c r="C39" i="36" s="1"/>
  <c r="B13" i="36"/>
  <c r="B39" i="36" s="1"/>
  <c r="F12" i="36"/>
  <c r="E12" i="36"/>
  <c r="D12" i="36"/>
  <c r="C12" i="36"/>
  <c r="B12" i="36"/>
  <c r="B35" i="36" s="1"/>
  <c r="B3" i="36"/>
  <c r="A3" i="36"/>
  <c r="M48" i="66" l="1"/>
  <c r="M48" i="69"/>
  <c r="S48" i="69" s="1"/>
  <c r="AF48" i="69" s="1"/>
  <c r="M48" i="71"/>
  <c r="S48" i="71" s="1"/>
  <c r="AF48" i="71" s="1"/>
  <c r="M48" i="70"/>
  <c r="S48" i="70" s="1"/>
  <c r="AF48" i="70" s="1"/>
  <c r="M48" i="54"/>
  <c r="S48" i="54" s="1"/>
  <c r="AF48" i="54" s="1"/>
  <c r="M43" i="66"/>
  <c r="M43" i="69"/>
  <c r="S43" i="69" s="1"/>
  <c r="AF43" i="69" s="1"/>
  <c r="M43" i="70"/>
  <c r="S43" i="70" s="1"/>
  <c r="AF43" i="70" s="1"/>
  <c r="M43" i="54"/>
  <c r="S43" i="54" s="1"/>
  <c r="AF43" i="54" s="1"/>
  <c r="M43" i="71"/>
  <c r="S43" i="71" s="1"/>
  <c r="AF43" i="71" s="1"/>
  <c r="N46" i="66"/>
  <c r="N46" i="69"/>
  <c r="T46" i="69" s="1"/>
  <c r="AG46" i="69" s="1"/>
  <c r="N46" i="71"/>
  <c r="T46" i="71" s="1"/>
  <c r="AG46" i="71" s="1"/>
  <c r="N46" i="70"/>
  <c r="T46" i="70" s="1"/>
  <c r="AG46" i="70" s="1"/>
  <c r="N46" i="54"/>
  <c r="T46" i="54" s="1"/>
  <c r="AG46" i="54" s="1"/>
  <c r="R47" i="54"/>
  <c r="N50" i="66"/>
  <c r="N50" i="71"/>
  <c r="T50" i="71" s="1"/>
  <c r="AG50" i="71" s="1"/>
  <c r="N50" i="69"/>
  <c r="T50" i="69" s="1"/>
  <c r="AG50" i="69" s="1"/>
  <c r="N50" i="70"/>
  <c r="T50" i="70" s="1"/>
  <c r="AG50" i="70" s="1"/>
  <c r="N50" i="54"/>
  <c r="T50" i="54" s="1"/>
  <c r="AG50" i="54" s="1"/>
  <c r="N48" i="66"/>
  <c r="N48" i="71"/>
  <c r="T48" i="71" s="1"/>
  <c r="AG48" i="71" s="1"/>
  <c r="N48" i="70"/>
  <c r="T48" i="70" s="1"/>
  <c r="AG48" i="70" s="1"/>
  <c r="N48" i="54"/>
  <c r="T48" i="54" s="1"/>
  <c r="AG48" i="54" s="1"/>
  <c r="N48" i="69"/>
  <c r="T48" i="69" s="1"/>
  <c r="AG48" i="69" s="1"/>
  <c r="M54" i="66"/>
  <c r="M54" i="70"/>
  <c r="S54" i="70" s="1"/>
  <c r="AF54" i="70" s="1"/>
  <c r="M54" i="69"/>
  <c r="S54" i="69" s="1"/>
  <c r="AF54" i="69" s="1"/>
  <c r="M54" i="71"/>
  <c r="S54" i="71" s="1"/>
  <c r="AF54" i="71" s="1"/>
  <c r="M54" i="54"/>
  <c r="S54" i="54" s="1"/>
  <c r="AF54" i="54" s="1"/>
  <c r="N40" i="66"/>
  <c r="N40" i="70"/>
  <c r="T40" i="70" s="1"/>
  <c r="AG40" i="70" s="1"/>
  <c r="N40" i="54"/>
  <c r="T40" i="54" s="1"/>
  <c r="AG40" i="54" s="1"/>
  <c r="N40" i="71"/>
  <c r="T40" i="71" s="1"/>
  <c r="AG40" i="71" s="1"/>
  <c r="N40" i="69"/>
  <c r="T40" i="69" s="1"/>
  <c r="AG40" i="69" s="1"/>
  <c r="N43" i="66"/>
  <c r="N43" i="70"/>
  <c r="T43" i="70" s="1"/>
  <c r="AG43" i="70" s="1"/>
  <c r="N43" i="54"/>
  <c r="T43" i="54" s="1"/>
  <c r="AG43" i="54" s="1"/>
  <c r="N43" i="71"/>
  <c r="T43" i="71" s="1"/>
  <c r="AG43" i="71" s="1"/>
  <c r="N43" i="69"/>
  <c r="T43" i="69" s="1"/>
  <c r="AG43" i="69" s="1"/>
  <c r="M47" i="66"/>
  <c r="M47" i="69"/>
  <c r="S47" i="69" s="1"/>
  <c r="AF47" i="69" s="1"/>
  <c r="M47" i="71"/>
  <c r="S47" i="71" s="1"/>
  <c r="AF47" i="71" s="1"/>
  <c r="M47" i="70"/>
  <c r="S47" i="70" s="1"/>
  <c r="AF47" i="70" s="1"/>
  <c r="M47" i="54"/>
  <c r="S47" i="54" s="1"/>
  <c r="AF47" i="54" s="1"/>
  <c r="N51" i="66"/>
  <c r="N51" i="71"/>
  <c r="T51" i="71" s="1"/>
  <c r="AG51" i="71" s="1"/>
  <c r="N51" i="69"/>
  <c r="T51" i="69" s="1"/>
  <c r="AG51" i="69" s="1"/>
  <c r="N51" i="54"/>
  <c r="T51" i="54" s="1"/>
  <c r="AG51" i="54" s="1"/>
  <c r="N51" i="70"/>
  <c r="T51" i="70" s="1"/>
  <c r="AG51" i="70" s="1"/>
  <c r="N54" i="66"/>
  <c r="N54" i="71"/>
  <c r="T54" i="71" s="1"/>
  <c r="AG54" i="71" s="1"/>
  <c r="N54" i="69"/>
  <c r="T54" i="69" s="1"/>
  <c r="AG54" i="69" s="1"/>
  <c r="N54" i="54"/>
  <c r="T54" i="54" s="1"/>
  <c r="AG54" i="54" s="1"/>
  <c r="N54" i="70"/>
  <c r="T54" i="70" s="1"/>
  <c r="AG54" i="70" s="1"/>
  <c r="M52" i="66"/>
  <c r="M52" i="71"/>
  <c r="S52" i="71" s="1"/>
  <c r="AF52" i="71" s="1"/>
  <c r="M52" i="69"/>
  <c r="S52" i="69" s="1"/>
  <c r="AF52" i="69" s="1"/>
  <c r="M52" i="54"/>
  <c r="S52" i="54" s="1"/>
  <c r="AF52" i="54" s="1"/>
  <c r="M52" i="70"/>
  <c r="S52" i="70" s="1"/>
  <c r="AF52" i="70" s="1"/>
  <c r="N41" i="66"/>
  <c r="N41" i="70"/>
  <c r="T41" i="70" s="1"/>
  <c r="AG41" i="70" s="1"/>
  <c r="N41" i="54"/>
  <c r="T41" i="54" s="1"/>
  <c r="AG41" i="54" s="1"/>
  <c r="N41" i="71"/>
  <c r="T41" i="71" s="1"/>
  <c r="AG41" i="71" s="1"/>
  <c r="N41" i="69"/>
  <c r="T41" i="69" s="1"/>
  <c r="AG41" i="69" s="1"/>
  <c r="N47" i="54"/>
  <c r="T47" i="54" s="1"/>
  <c r="AG47" i="54" s="1"/>
  <c r="N52" i="66"/>
  <c r="N52" i="70"/>
  <c r="T52" i="70" s="1"/>
  <c r="AG52" i="70" s="1"/>
  <c r="N52" i="71"/>
  <c r="T52" i="71" s="1"/>
  <c r="AG52" i="71" s="1"/>
  <c r="N52" i="54"/>
  <c r="T52" i="54" s="1"/>
  <c r="AG52" i="54" s="1"/>
  <c r="N52" i="69"/>
  <c r="T52" i="69" s="1"/>
  <c r="AG52" i="69" s="1"/>
  <c r="M53" i="66"/>
  <c r="M53" i="70"/>
  <c r="S53" i="70" s="1"/>
  <c r="AF53" i="70" s="1"/>
  <c r="M53" i="69"/>
  <c r="S53" i="69" s="1"/>
  <c r="AF53" i="69" s="1"/>
  <c r="M53" i="54"/>
  <c r="S53" i="54" s="1"/>
  <c r="AF53" i="54" s="1"/>
  <c r="M53" i="71"/>
  <c r="S53" i="71" s="1"/>
  <c r="AF53" i="71" s="1"/>
  <c r="L47" i="36"/>
  <c r="H26" i="19"/>
  <c r="N26" i="19" s="1"/>
  <c r="T26" i="19" s="1"/>
  <c r="Z26" i="19" s="1"/>
  <c r="F44" i="36"/>
  <c r="D34" i="4"/>
  <c r="E44" i="36"/>
  <c r="I47" i="36"/>
  <c r="M47" i="36"/>
  <c r="I44" i="36"/>
  <c r="M44" i="36"/>
  <c r="L40" i="36"/>
  <c r="L42" i="36"/>
  <c r="L43" i="36"/>
  <c r="L46" i="36"/>
  <c r="L45" i="36"/>
  <c r="L49" i="36"/>
  <c r="L50" i="36"/>
  <c r="L51" i="36"/>
  <c r="L52" i="36"/>
  <c r="L53" i="36"/>
  <c r="L48" i="36"/>
  <c r="L54" i="36"/>
  <c r="AM9" i="37"/>
  <c r="L80" i="23"/>
  <c r="AL9" i="37" s="1"/>
  <c r="AU9" i="37"/>
  <c r="T80" i="23"/>
  <c r="AT9" i="37" s="1"/>
  <c r="AQ9" i="37"/>
  <c r="P80" i="23"/>
  <c r="AP9" i="37" s="1"/>
  <c r="G52" i="36"/>
  <c r="G41" i="36"/>
  <c r="G49" i="36"/>
  <c r="M49" i="36" s="1"/>
  <c r="G39" i="36"/>
  <c r="G51" i="36"/>
  <c r="M51" i="36" s="1"/>
  <c r="G45" i="36"/>
  <c r="G43" i="36"/>
  <c r="G40" i="36"/>
  <c r="G53" i="36"/>
  <c r="G48" i="36"/>
  <c r="G50" i="36"/>
  <c r="M50" i="36" s="1"/>
  <c r="G46" i="36"/>
  <c r="G42" i="36"/>
  <c r="G54" i="36"/>
  <c r="D35" i="36"/>
  <c r="E3" i="4"/>
  <c r="E35" i="36"/>
  <c r="F3" i="4"/>
  <c r="F35" i="36"/>
  <c r="G3" i="4"/>
  <c r="C35" i="36"/>
  <c r="D3" i="4"/>
  <c r="E39" i="36"/>
  <c r="E41" i="36"/>
  <c r="G34" i="4"/>
  <c r="W64" i="14"/>
  <c r="W63" i="14"/>
  <c r="W62" i="14"/>
  <c r="W61" i="14"/>
  <c r="W60" i="14"/>
  <c r="V64" i="14"/>
  <c r="V63" i="14"/>
  <c r="V62" i="14"/>
  <c r="V61" i="14"/>
  <c r="V60" i="14"/>
  <c r="V58" i="14"/>
  <c r="U64" i="14"/>
  <c r="T64" i="14"/>
  <c r="S64" i="14"/>
  <c r="R64" i="14"/>
  <c r="Q64" i="14"/>
  <c r="P64" i="14"/>
  <c r="U63" i="14"/>
  <c r="T63" i="14"/>
  <c r="S63" i="14"/>
  <c r="R63" i="14"/>
  <c r="Q63" i="14"/>
  <c r="P63" i="14"/>
  <c r="U62" i="14"/>
  <c r="T62" i="14"/>
  <c r="S62" i="14"/>
  <c r="R62" i="14"/>
  <c r="Q62" i="14"/>
  <c r="P62" i="14"/>
  <c r="U61" i="14"/>
  <c r="T61" i="14"/>
  <c r="S61" i="14"/>
  <c r="R61" i="14"/>
  <c r="Q61" i="14"/>
  <c r="P61" i="14"/>
  <c r="U60" i="14"/>
  <c r="T60" i="14"/>
  <c r="S60" i="14"/>
  <c r="S58" i="14" s="1"/>
  <c r="R60" i="14"/>
  <c r="R58" i="14" s="1"/>
  <c r="Q60" i="14"/>
  <c r="P60" i="14"/>
  <c r="N64" i="14"/>
  <c r="N63" i="14"/>
  <c r="N62" i="14"/>
  <c r="N61" i="14"/>
  <c r="N60" i="14"/>
  <c r="O64" i="14"/>
  <c r="O63" i="14"/>
  <c r="O62" i="14"/>
  <c r="O61" i="14"/>
  <c r="O60" i="14"/>
  <c r="O58" i="14" s="1"/>
  <c r="L64" i="15"/>
  <c r="A8" i="36" s="1"/>
  <c r="L63" i="15"/>
  <c r="A7" i="36" s="1"/>
  <c r="L62" i="15"/>
  <c r="A6" i="36" s="1"/>
  <c r="L61" i="15"/>
  <c r="A5" i="36" s="1"/>
  <c r="L60" i="15"/>
  <c r="A4" i="36" s="1"/>
  <c r="M64" i="15"/>
  <c r="M63" i="15"/>
  <c r="M62" i="15"/>
  <c r="M61" i="15"/>
  <c r="M60" i="15"/>
  <c r="AE47" i="54" l="1"/>
  <c r="AJ47" i="54" s="1"/>
  <c r="V47" i="54"/>
  <c r="Z47" i="54"/>
  <c r="M44" i="66"/>
  <c r="M44" i="70"/>
  <c r="S44" i="70" s="1"/>
  <c r="AF44" i="70" s="1"/>
  <c r="M44" i="54"/>
  <c r="S44" i="54" s="1"/>
  <c r="AF44" i="54" s="1"/>
  <c r="M44" i="71"/>
  <c r="S44" i="71" s="1"/>
  <c r="AF44" i="71" s="1"/>
  <c r="M44" i="69"/>
  <c r="S44" i="69" s="1"/>
  <c r="AF44" i="69" s="1"/>
  <c r="C4" i="71"/>
  <c r="Z4" i="71" s="1"/>
  <c r="K57" i="71"/>
  <c r="C4" i="70"/>
  <c r="Z4" i="70" s="1"/>
  <c r="Z5" i="70" s="1"/>
  <c r="AA5" i="70" s="1"/>
  <c r="K57" i="69"/>
  <c r="K57" i="68"/>
  <c r="C4" i="68"/>
  <c r="Z4" i="68" s="1"/>
  <c r="K57" i="54"/>
  <c r="C4" i="54"/>
  <c r="Z4" i="54" s="1"/>
  <c r="I57" i="71"/>
  <c r="K57" i="70"/>
  <c r="I57" i="69"/>
  <c r="I57" i="68"/>
  <c r="I57" i="54"/>
  <c r="I57" i="70"/>
  <c r="C4" i="69"/>
  <c r="Z4" i="69" s="1"/>
  <c r="K58" i="71"/>
  <c r="K58" i="69"/>
  <c r="K58" i="66"/>
  <c r="K58" i="68"/>
  <c r="K58" i="54"/>
  <c r="K58" i="70"/>
  <c r="H41" i="70" s="1"/>
  <c r="AN47" i="54"/>
  <c r="AC23" i="54" s="1"/>
  <c r="AO47" i="54"/>
  <c r="AD23" i="54" s="1"/>
  <c r="I57" i="66"/>
  <c r="C4" i="66"/>
  <c r="K57" i="66"/>
  <c r="L41" i="36"/>
  <c r="L44" i="36"/>
  <c r="N58" i="14"/>
  <c r="P58" i="14"/>
  <c r="T58" i="14"/>
  <c r="Q58" i="14"/>
  <c r="U58" i="14"/>
  <c r="L39" i="36"/>
  <c r="W58" i="14"/>
  <c r="I54" i="36"/>
  <c r="M54" i="36"/>
  <c r="I42" i="36"/>
  <c r="M42" i="36"/>
  <c r="I46" i="36"/>
  <c r="M46" i="36"/>
  <c r="I48" i="36"/>
  <c r="M48" i="36"/>
  <c r="I53" i="36"/>
  <c r="M53" i="36"/>
  <c r="I40" i="36"/>
  <c r="M40" i="36"/>
  <c r="I43" i="36"/>
  <c r="M43" i="36"/>
  <c r="I45" i="36"/>
  <c r="M45" i="36"/>
  <c r="I39" i="36"/>
  <c r="M39" i="36"/>
  <c r="I41" i="36"/>
  <c r="M41" i="36"/>
  <c r="I52" i="36"/>
  <c r="M52" i="36"/>
  <c r="I50" i="36"/>
  <c r="I51" i="36"/>
  <c r="I49" i="36"/>
  <c r="K38" i="69" l="1"/>
  <c r="K37" i="69"/>
  <c r="K36" i="69"/>
  <c r="K44" i="69"/>
  <c r="K47" i="69"/>
  <c r="K49" i="69"/>
  <c r="H42" i="69"/>
  <c r="H46" i="69"/>
  <c r="K46" i="69" s="1"/>
  <c r="K48" i="69"/>
  <c r="K53" i="69"/>
  <c r="K42" i="69"/>
  <c r="K50" i="69"/>
  <c r="H41" i="69"/>
  <c r="K41" i="69" s="1"/>
  <c r="K39" i="69"/>
  <c r="K40" i="69"/>
  <c r="K43" i="69"/>
  <c r="H45" i="69"/>
  <c r="K45" i="69" s="1"/>
  <c r="K51" i="69"/>
  <c r="H54" i="69"/>
  <c r="K30" i="69" s="1"/>
  <c r="H52" i="69"/>
  <c r="K28" i="69" s="1"/>
  <c r="R23" i="54"/>
  <c r="AB23" i="54" s="1"/>
  <c r="AB47" i="54"/>
  <c r="S23" i="54" s="1"/>
  <c r="AM23" i="54" s="1"/>
  <c r="AE23" i="54"/>
  <c r="G48" i="70"/>
  <c r="G36" i="70"/>
  <c r="G38" i="70"/>
  <c r="G37" i="70"/>
  <c r="I37" i="70" s="1"/>
  <c r="J37" i="70" s="1"/>
  <c r="AH37" i="70" s="1"/>
  <c r="G46" i="70"/>
  <c r="G47" i="70"/>
  <c r="I47" i="70" s="1"/>
  <c r="J47" i="70" s="1"/>
  <c r="AH47" i="70" s="1"/>
  <c r="G45" i="70"/>
  <c r="I45" i="70" s="1"/>
  <c r="J45" i="70" s="1"/>
  <c r="AH45" i="70" s="1"/>
  <c r="G40" i="70"/>
  <c r="G54" i="70"/>
  <c r="I54" i="70" s="1"/>
  <c r="J54" i="70" s="1"/>
  <c r="AH54" i="70" s="1"/>
  <c r="G52" i="70"/>
  <c r="G49" i="70"/>
  <c r="I49" i="70" s="1"/>
  <c r="J49" i="70" s="1"/>
  <c r="AH49" i="70" s="1"/>
  <c r="G44" i="70"/>
  <c r="I48" i="70"/>
  <c r="J48" i="70" s="1"/>
  <c r="AH48" i="70" s="1"/>
  <c r="G39" i="70"/>
  <c r="I39" i="70" s="1"/>
  <c r="J39" i="70" s="1"/>
  <c r="AH39" i="70" s="1"/>
  <c r="G51" i="70"/>
  <c r="I51" i="70" s="1"/>
  <c r="J51" i="70" s="1"/>
  <c r="AH51" i="70" s="1"/>
  <c r="G41" i="70"/>
  <c r="I41" i="70" s="1"/>
  <c r="J41" i="70" s="1"/>
  <c r="AH41" i="70" s="1"/>
  <c r="G53" i="70"/>
  <c r="G42" i="70"/>
  <c r="G50" i="70"/>
  <c r="I50" i="70" s="1"/>
  <c r="J50" i="70" s="1"/>
  <c r="AH50" i="70" s="1"/>
  <c r="G43" i="70"/>
  <c r="I43" i="70" s="1"/>
  <c r="J43" i="70" s="1"/>
  <c r="AH43" i="70" s="1"/>
  <c r="I46" i="70"/>
  <c r="J46" i="70" s="1"/>
  <c r="AH46" i="70" s="1"/>
  <c r="I52" i="70"/>
  <c r="J52" i="70" s="1"/>
  <c r="AH52" i="70" s="1"/>
  <c r="I40" i="70"/>
  <c r="J40" i="70" s="1"/>
  <c r="AH40" i="70" s="1"/>
  <c r="H37" i="70"/>
  <c r="H38" i="70"/>
  <c r="H36" i="70"/>
  <c r="H43" i="70"/>
  <c r="K43" i="70" s="1"/>
  <c r="H45" i="70"/>
  <c r="K45" i="70" s="1"/>
  <c r="H51" i="70"/>
  <c r="H48" i="70"/>
  <c r="K48" i="70" s="1"/>
  <c r="K41" i="70"/>
  <c r="H44" i="70"/>
  <c r="K44" i="70" s="1"/>
  <c r="H47" i="70"/>
  <c r="K47" i="70" s="1"/>
  <c r="H52" i="70"/>
  <c r="K52" i="70" s="1"/>
  <c r="H49" i="70"/>
  <c r="H42" i="70"/>
  <c r="K42" i="70" s="1"/>
  <c r="H40" i="70"/>
  <c r="H54" i="70"/>
  <c r="H53" i="70"/>
  <c r="K53" i="70" s="1"/>
  <c r="H39" i="70"/>
  <c r="H46" i="70"/>
  <c r="H50" i="70"/>
  <c r="Z17" i="68"/>
  <c r="AF17" i="68" s="1"/>
  <c r="Z5" i="68"/>
  <c r="Z16" i="68"/>
  <c r="AF16" i="68" s="1"/>
  <c r="Z19" i="68"/>
  <c r="AF19" i="68" s="1"/>
  <c r="Z14" i="68"/>
  <c r="AF14" i="68" s="1"/>
  <c r="Z28" i="68"/>
  <c r="AF28" i="68" s="1"/>
  <c r="Z29" i="68"/>
  <c r="AF29" i="68" s="1"/>
  <c r="Z13" i="68"/>
  <c r="AF13" i="68" s="1"/>
  <c r="Z12" i="68"/>
  <c r="AF12" i="68" s="1"/>
  <c r="Z24" i="68"/>
  <c r="AF24" i="68" s="1"/>
  <c r="Z27" i="68"/>
  <c r="AF27" i="68" s="1"/>
  <c r="Z30" i="68"/>
  <c r="AF30" i="68" s="1"/>
  <c r="Z15" i="68"/>
  <c r="AF15" i="68" s="1"/>
  <c r="Z21" i="68"/>
  <c r="AF21" i="68" s="1"/>
  <c r="Z18" i="68"/>
  <c r="AF18" i="68" s="1"/>
  <c r="Z20" i="68"/>
  <c r="AF20" i="68" s="1"/>
  <c r="Z25" i="68"/>
  <c r="AF25" i="68" s="1"/>
  <c r="Z22" i="68"/>
  <c r="AF22" i="68" s="1"/>
  <c r="Z23" i="68"/>
  <c r="AF23" i="68" s="1"/>
  <c r="Z26" i="68"/>
  <c r="AF26" i="68" s="1"/>
  <c r="K38" i="71"/>
  <c r="K36" i="71"/>
  <c r="K37" i="71"/>
  <c r="K52" i="71"/>
  <c r="K53" i="71"/>
  <c r="K39" i="71"/>
  <c r="K42" i="71"/>
  <c r="H54" i="71"/>
  <c r="K46" i="71"/>
  <c r="K48" i="71"/>
  <c r="K40" i="71"/>
  <c r="K51" i="71"/>
  <c r="K44" i="71"/>
  <c r="K43" i="71"/>
  <c r="H41" i="71"/>
  <c r="K41" i="71" s="1"/>
  <c r="K50" i="71"/>
  <c r="K47" i="71"/>
  <c r="K49" i="71"/>
  <c r="K45" i="71"/>
  <c r="N23" i="54"/>
  <c r="X47" i="54"/>
  <c r="P23" i="54" s="1"/>
  <c r="AL23" i="54" s="1"/>
  <c r="Z5" i="54"/>
  <c r="Z15" i="54"/>
  <c r="Z20" i="54"/>
  <c r="Z12" i="54"/>
  <c r="AF12" i="54" s="1"/>
  <c r="Z19" i="54"/>
  <c r="Z17" i="54"/>
  <c r="Z13" i="54"/>
  <c r="AF13" i="54" s="1"/>
  <c r="Z24" i="54"/>
  <c r="Z21" i="54"/>
  <c r="Z28" i="54"/>
  <c r="Z22" i="54"/>
  <c r="Z27" i="54"/>
  <c r="Z16" i="54"/>
  <c r="Z25" i="54"/>
  <c r="Z23" i="54"/>
  <c r="AF23" i="54" s="1"/>
  <c r="Z29" i="54"/>
  <c r="Z14" i="54"/>
  <c r="AF14" i="54" s="1"/>
  <c r="Z5" i="69"/>
  <c r="AA5" i="69" s="1"/>
  <c r="Z29" i="69"/>
  <c r="Z26" i="69"/>
  <c r="Z23" i="69"/>
  <c r="Z20" i="69"/>
  <c r="Z16" i="69"/>
  <c r="Z27" i="69"/>
  <c r="Z12" i="69"/>
  <c r="Z25" i="69"/>
  <c r="Z24" i="69"/>
  <c r="Z13" i="69"/>
  <c r="Z19" i="69"/>
  <c r="Z14" i="69"/>
  <c r="Z15" i="69"/>
  <c r="I37" i="69"/>
  <c r="J37" i="69" s="1"/>
  <c r="AH37" i="69" s="1"/>
  <c r="I38" i="69"/>
  <c r="J38" i="69" s="1"/>
  <c r="AH38" i="69" s="1"/>
  <c r="I36" i="69"/>
  <c r="J36" i="69" s="1"/>
  <c r="AH36" i="69" s="1"/>
  <c r="I51" i="69"/>
  <c r="J51" i="69" s="1"/>
  <c r="AH51" i="69" s="1"/>
  <c r="I40" i="69"/>
  <c r="J40" i="69" s="1"/>
  <c r="AH40" i="69" s="1"/>
  <c r="G54" i="69"/>
  <c r="I54" i="69" s="1"/>
  <c r="J54" i="69" s="1"/>
  <c r="AH54" i="69" s="1"/>
  <c r="I43" i="69"/>
  <c r="J43" i="69" s="1"/>
  <c r="AH43" i="69" s="1"/>
  <c r="G45" i="69"/>
  <c r="I45" i="69" s="1"/>
  <c r="J45" i="69" s="1"/>
  <c r="AH45" i="69" s="1"/>
  <c r="G52" i="69"/>
  <c r="I52" i="69" s="1"/>
  <c r="J52" i="69" s="1"/>
  <c r="AH52" i="69" s="1"/>
  <c r="G42" i="69"/>
  <c r="I39" i="69"/>
  <c r="J39" i="69" s="1"/>
  <c r="AH39" i="69" s="1"/>
  <c r="I53" i="69"/>
  <c r="J53" i="69" s="1"/>
  <c r="AH53" i="69" s="1"/>
  <c r="I48" i="69"/>
  <c r="J48" i="69" s="1"/>
  <c r="AH48" i="69" s="1"/>
  <c r="I42" i="69"/>
  <c r="J42" i="69" s="1"/>
  <c r="AH42" i="69" s="1"/>
  <c r="G46" i="69"/>
  <c r="I49" i="69"/>
  <c r="J49" i="69" s="1"/>
  <c r="AH49" i="69" s="1"/>
  <c r="I47" i="69"/>
  <c r="J47" i="69" s="1"/>
  <c r="AH47" i="69" s="1"/>
  <c r="I50" i="69"/>
  <c r="J50" i="69" s="1"/>
  <c r="AH50" i="69" s="1"/>
  <c r="G41" i="69"/>
  <c r="I44" i="69"/>
  <c r="J44" i="69" s="1"/>
  <c r="AH44" i="69" s="1"/>
  <c r="K41" i="54"/>
  <c r="H50" i="54"/>
  <c r="K50" i="54" s="1"/>
  <c r="K46" i="54"/>
  <c r="K40" i="54"/>
  <c r="K51" i="54"/>
  <c r="H42" i="54"/>
  <c r="K42" i="54" s="1"/>
  <c r="K43" i="54"/>
  <c r="H54" i="54"/>
  <c r="K30" i="54" s="1"/>
  <c r="K48" i="54"/>
  <c r="K44" i="54"/>
  <c r="K49" i="54"/>
  <c r="K39" i="54"/>
  <c r="K45" i="54"/>
  <c r="K52" i="54"/>
  <c r="K53" i="54"/>
  <c r="K17" i="70"/>
  <c r="L41" i="70"/>
  <c r="R41" i="70" s="1"/>
  <c r="AE41" i="70" s="1"/>
  <c r="I36" i="54"/>
  <c r="J36" i="54" s="1"/>
  <c r="AH36" i="54" s="1"/>
  <c r="I38" i="54"/>
  <c r="J38" i="54" s="1"/>
  <c r="AH38" i="54" s="1"/>
  <c r="I37" i="54"/>
  <c r="J37" i="54" s="1"/>
  <c r="AH37" i="54" s="1"/>
  <c r="I41" i="54"/>
  <c r="J41" i="54" s="1"/>
  <c r="AH41" i="54" s="1"/>
  <c r="I48" i="54"/>
  <c r="J48" i="54" s="1"/>
  <c r="AH48" i="54" s="1"/>
  <c r="I39" i="54"/>
  <c r="J39" i="54" s="1"/>
  <c r="AH39" i="54" s="1"/>
  <c r="I45" i="54"/>
  <c r="J45" i="54" s="1"/>
  <c r="AH45" i="54" s="1"/>
  <c r="I47" i="54"/>
  <c r="J47" i="54" s="1"/>
  <c r="AH47" i="54" s="1"/>
  <c r="I43" i="54"/>
  <c r="J43" i="54" s="1"/>
  <c r="AH43" i="54" s="1"/>
  <c r="I49" i="54"/>
  <c r="J49" i="54" s="1"/>
  <c r="AH49" i="54" s="1"/>
  <c r="G42" i="54"/>
  <c r="I42" i="54" s="1"/>
  <c r="J42" i="54" s="1"/>
  <c r="AH42" i="54" s="1"/>
  <c r="I40" i="54"/>
  <c r="J40" i="54" s="1"/>
  <c r="AH40" i="54" s="1"/>
  <c r="I51" i="54"/>
  <c r="J51" i="54" s="1"/>
  <c r="AH51" i="54" s="1"/>
  <c r="I52" i="54"/>
  <c r="J52" i="54" s="1"/>
  <c r="AH52" i="54" s="1"/>
  <c r="I44" i="54"/>
  <c r="J44" i="54" s="1"/>
  <c r="AH44" i="54" s="1"/>
  <c r="I53" i="54"/>
  <c r="J53" i="54" s="1"/>
  <c r="AH53" i="54" s="1"/>
  <c r="G50" i="54"/>
  <c r="I46" i="54"/>
  <c r="J46" i="54" s="1"/>
  <c r="AH46" i="54" s="1"/>
  <c r="G54" i="54"/>
  <c r="I54" i="54" s="1"/>
  <c r="J54" i="54" s="1"/>
  <c r="AH54" i="54" s="1"/>
  <c r="I36" i="71"/>
  <c r="J36" i="71" s="1"/>
  <c r="AH36" i="71" s="1"/>
  <c r="I37" i="71"/>
  <c r="J37" i="71" s="1"/>
  <c r="AH37" i="71" s="1"/>
  <c r="I38" i="71"/>
  <c r="J38" i="71" s="1"/>
  <c r="AH38" i="71" s="1"/>
  <c r="G41" i="71"/>
  <c r="I51" i="71"/>
  <c r="J51" i="71" s="1"/>
  <c r="AH51" i="71" s="1"/>
  <c r="I52" i="71"/>
  <c r="J52" i="71" s="1"/>
  <c r="AH52" i="71" s="1"/>
  <c r="I39" i="71"/>
  <c r="J39" i="71" s="1"/>
  <c r="AH39" i="71" s="1"/>
  <c r="I49" i="71"/>
  <c r="J49" i="71" s="1"/>
  <c r="AH49" i="71" s="1"/>
  <c r="I46" i="71"/>
  <c r="J46" i="71" s="1"/>
  <c r="AH46" i="71" s="1"/>
  <c r="I48" i="71"/>
  <c r="J48" i="71" s="1"/>
  <c r="AH48" i="71" s="1"/>
  <c r="I44" i="71"/>
  <c r="J44" i="71" s="1"/>
  <c r="AH44" i="71" s="1"/>
  <c r="I45" i="71"/>
  <c r="J45" i="71" s="1"/>
  <c r="AH45" i="71" s="1"/>
  <c r="I53" i="71"/>
  <c r="J53" i="71" s="1"/>
  <c r="AH53" i="71" s="1"/>
  <c r="I47" i="71"/>
  <c r="J47" i="71" s="1"/>
  <c r="AH47" i="71" s="1"/>
  <c r="I50" i="71"/>
  <c r="J50" i="71" s="1"/>
  <c r="AH50" i="71" s="1"/>
  <c r="I41" i="71"/>
  <c r="J41" i="71" s="1"/>
  <c r="AH41" i="71" s="1"/>
  <c r="I40" i="71"/>
  <c r="J40" i="71" s="1"/>
  <c r="AH40" i="71" s="1"/>
  <c r="I43" i="71"/>
  <c r="J43" i="71" s="1"/>
  <c r="AH43" i="71" s="1"/>
  <c r="G54" i="71"/>
  <c r="I42" i="71"/>
  <c r="J42" i="71" s="1"/>
  <c r="AH42" i="71" s="1"/>
  <c r="Z5" i="71"/>
  <c r="AA5" i="71" s="1"/>
  <c r="Z15" i="71"/>
  <c r="Z20" i="71"/>
  <c r="Z25" i="71"/>
  <c r="Z23" i="71"/>
  <c r="Z26" i="71"/>
  <c r="Z19" i="71"/>
  <c r="Z13" i="71"/>
  <c r="Z24" i="71"/>
  <c r="Z14" i="71"/>
  <c r="Z27" i="71"/>
  <c r="Z21" i="71"/>
  <c r="Z16" i="71"/>
  <c r="Z12" i="71"/>
  <c r="Z18" i="71"/>
  <c r="Z28" i="71"/>
  <c r="Z29" i="71"/>
  <c r="Z22" i="71"/>
  <c r="H46" i="66"/>
  <c r="K22" i="66" s="1"/>
  <c r="H37" i="66"/>
  <c r="H38" i="66"/>
  <c r="H43" i="66"/>
  <c r="K19" i="66" s="1"/>
  <c r="H39" i="66"/>
  <c r="K15" i="66" s="1"/>
  <c r="H47" i="66"/>
  <c r="K23" i="66" s="1"/>
  <c r="H44" i="66"/>
  <c r="K20" i="66" s="1"/>
  <c r="H45" i="66"/>
  <c r="K21" i="66" s="1"/>
  <c r="H52" i="66"/>
  <c r="K28" i="66" s="1"/>
  <c r="H40" i="66"/>
  <c r="K16" i="66" s="1"/>
  <c r="H49" i="66"/>
  <c r="K25" i="66" s="1"/>
  <c r="H53" i="66"/>
  <c r="K29" i="66" s="1"/>
  <c r="H48" i="66"/>
  <c r="K48" i="66" s="1"/>
  <c r="H51" i="66"/>
  <c r="K27" i="66" s="1"/>
  <c r="H41" i="66"/>
  <c r="K17" i="66" s="1"/>
  <c r="H36" i="66"/>
  <c r="K36" i="66" s="1"/>
  <c r="L36" i="66" s="1"/>
  <c r="G44" i="66"/>
  <c r="G47" i="66"/>
  <c r="G38" i="66"/>
  <c r="F38" i="66" s="1"/>
  <c r="G51" i="66"/>
  <c r="I51" i="66" s="1"/>
  <c r="J51" i="66" s="1"/>
  <c r="AH51" i="66" s="1"/>
  <c r="G43" i="66"/>
  <c r="I43" i="66" s="1"/>
  <c r="J43" i="66" s="1"/>
  <c r="AH43" i="66" s="1"/>
  <c r="G39" i="66"/>
  <c r="G46" i="66"/>
  <c r="I46" i="66" s="1"/>
  <c r="J46" i="66" s="1"/>
  <c r="AH46" i="66" s="1"/>
  <c r="G48" i="66"/>
  <c r="I48" i="66" s="1"/>
  <c r="J48" i="66" s="1"/>
  <c r="AH48" i="66" s="1"/>
  <c r="G41" i="66"/>
  <c r="I41" i="66" s="1"/>
  <c r="J41" i="66" s="1"/>
  <c r="AH41" i="66" s="1"/>
  <c r="G40" i="66"/>
  <c r="I40" i="66" s="1"/>
  <c r="J40" i="66" s="1"/>
  <c r="AH40" i="66" s="1"/>
  <c r="G52" i="66"/>
  <c r="I52" i="66" s="1"/>
  <c r="J52" i="66" s="1"/>
  <c r="AH52" i="66" s="1"/>
  <c r="G49" i="66"/>
  <c r="I49" i="66" s="1"/>
  <c r="J49" i="66" s="1"/>
  <c r="AH49" i="66" s="1"/>
  <c r="G53" i="66"/>
  <c r="I53" i="66" s="1"/>
  <c r="J53" i="66" s="1"/>
  <c r="AH53" i="66" s="1"/>
  <c r="G36" i="66"/>
  <c r="I36" i="66" s="1"/>
  <c r="J36" i="66" s="1"/>
  <c r="AH36" i="66" s="1"/>
  <c r="G45" i="66"/>
  <c r="I45" i="66" s="1"/>
  <c r="J45" i="66" s="1"/>
  <c r="AH45" i="66" s="1"/>
  <c r="G37" i="66"/>
  <c r="F37" i="66" s="1"/>
  <c r="H50" i="66"/>
  <c r="K26" i="66" s="1"/>
  <c r="H42" i="66"/>
  <c r="K18" i="66" s="1"/>
  <c r="H54" i="66"/>
  <c r="K30" i="66" s="1"/>
  <c r="G54" i="66"/>
  <c r="I54" i="66" s="1"/>
  <c r="J54" i="66" s="1"/>
  <c r="AH54" i="66" s="1"/>
  <c r="G42" i="66"/>
  <c r="I42" i="66" s="1"/>
  <c r="J42" i="66" s="1"/>
  <c r="AH42" i="66" s="1"/>
  <c r="G50" i="66"/>
  <c r="I50" i="66" s="1"/>
  <c r="J50" i="66" s="1"/>
  <c r="AH50" i="66" s="1"/>
  <c r="K38" i="66"/>
  <c r="L38" i="66" s="1"/>
  <c r="K37" i="66"/>
  <c r="K46" i="66"/>
  <c r="K40" i="66"/>
  <c r="K39" i="66"/>
  <c r="Z4" i="66"/>
  <c r="I44" i="66"/>
  <c r="J44" i="66" s="1"/>
  <c r="AH44" i="66" s="1"/>
  <c r="I39" i="66"/>
  <c r="J39" i="66" s="1"/>
  <c r="AH39" i="66" s="1"/>
  <c r="I47" i="66"/>
  <c r="J47" i="66" s="1"/>
  <c r="AH47" i="66" s="1"/>
  <c r="K51" i="66" l="1"/>
  <c r="K47" i="66"/>
  <c r="K50" i="66"/>
  <c r="K42" i="66"/>
  <c r="Q42" i="66" s="1"/>
  <c r="K52" i="66"/>
  <c r="K44" i="66"/>
  <c r="K41" i="66"/>
  <c r="Q41" i="66" s="1"/>
  <c r="AP43" i="70"/>
  <c r="AI43" i="70" s="1"/>
  <c r="AQ43" i="70" s="1"/>
  <c r="AP45" i="69"/>
  <c r="AI45" i="69" s="1"/>
  <c r="AQ45" i="69" s="1"/>
  <c r="AP42" i="54"/>
  <c r="AI42" i="54" s="1"/>
  <c r="AQ42" i="54" s="1"/>
  <c r="L41" i="71"/>
  <c r="R41" i="71" s="1"/>
  <c r="AE41" i="71" s="1"/>
  <c r="Q41" i="71"/>
  <c r="AP41" i="70"/>
  <c r="AI41" i="70" s="1"/>
  <c r="AQ41" i="70" s="1"/>
  <c r="AP37" i="70"/>
  <c r="AI37" i="70" s="1"/>
  <c r="AQ37" i="70" s="1"/>
  <c r="AP47" i="71"/>
  <c r="AI47" i="71" s="1"/>
  <c r="AQ47" i="71" s="1"/>
  <c r="AP37" i="71"/>
  <c r="AI37" i="71" s="1"/>
  <c r="AQ37" i="71" s="1"/>
  <c r="W50" i="54"/>
  <c r="L26" i="54"/>
  <c r="F50" i="54"/>
  <c r="M26" i="54" s="1"/>
  <c r="AK26" i="54" s="1"/>
  <c r="AP54" i="54"/>
  <c r="AI54" i="54" s="1"/>
  <c r="AQ54" i="54" s="1"/>
  <c r="AP45" i="54"/>
  <c r="AI45" i="54" s="1"/>
  <c r="AQ45" i="54" s="1"/>
  <c r="AP41" i="54"/>
  <c r="AI41" i="54" s="1"/>
  <c r="AQ41" i="54" s="1"/>
  <c r="L44" i="54"/>
  <c r="R44" i="54" s="1"/>
  <c r="AE44" i="54" s="1"/>
  <c r="Q44" i="54"/>
  <c r="L40" i="54"/>
  <c r="R40" i="54" s="1"/>
  <c r="AE40" i="54" s="1"/>
  <c r="Q40" i="54"/>
  <c r="AP49" i="69"/>
  <c r="AI49" i="69" s="1"/>
  <c r="AQ49" i="69" s="1"/>
  <c r="AP52" i="69"/>
  <c r="AI52" i="69" s="1"/>
  <c r="AQ52" i="69" s="1"/>
  <c r="AP40" i="69"/>
  <c r="AI40" i="69" s="1"/>
  <c r="AQ40" i="69" s="1"/>
  <c r="L43" i="71"/>
  <c r="R43" i="71" s="1"/>
  <c r="AE43" i="71" s="1"/>
  <c r="Q43" i="71"/>
  <c r="Q52" i="71"/>
  <c r="L52" i="71"/>
  <c r="R52" i="71" s="1"/>
  <c r="AE52" i="71" s="1"/>
  <c r="F39" i="70"/>
  <c r="M15" i="70" s="1"/>
  <c r="AK15" i="70" s="1"/>
  <c r="K15" i="70"/>
  <c r="Q53" i="70"/>
  <c r="K27" i="70"/>
  <c r="AP40" i="70"/>
  <c r="AI40" i="70" s="1"/>
  <c r="AQ40" i="70" s="1"/>
  <c r="Q40" i="69"/>
  <c r="L40" i="69"/>
  <c r="R40" i="69" s="1"/>
  <c r="AE40" i="69" s="1"/>
  <c r="AP40" i="71"/>
  <c r="AI40" i="71" s="1"/>
  <c r="AQ40" i="71" s="1"/>
  <c r="AP53" i="71"/>
  <c r="AI53" i="71" s="1"/>
  <c r="AQ53" i="71" s="1"/>
  <c r="AP46" i="71"/>
  <c r="AI46" i="71" s="1"/>
  <c r="AQ46" i="71" s="1"/>
  <c r="AP51" i="71"/>
  <c r="AI51" i="71" s="1"/>
  <c r="AQ51" i="71" s="1"/>
  <c r="AP36" i="71"/>
  <c r="AI36" i="71" s="1"/>
  <c r="AQ36" i="71" s="1"/>
  <c r="AP53" i="54"/>
  <c r="AI53" i="54" s="1"/>
  <c r="AQ53" i="54" s="1"/>
  <c r="AP40" i="54"/>
  <c r="AI40" i="54" s="1"/>
  <c r="AQ40" i="54" s="1"/>
  <c r="I50" i="54"/>
  <c r="J50" i="54" s="1"/>
  <c r="AH50" i="54" s="1"/>
  <c r="AP37" i="54"/>
  <c r="AI37" i="54" s="1"/>
  <c r="AQ37" i="54" s="1"/>
  <c r="Q42" i="54"/>
  <c r="L48" i="54"/>
  <c r="R48" i="54" s="1"/>
  <c r="AE48" i="54" s="1"/>
  <c r="Q48" i="54"/>
  <c r="K54" i="54"/>
  <c r="L46" i="54"/>
  <c r="R46" i="54" s="1"/>
  <c r="AE46" i="54" s="1"/>
  <c r="Q46" i="54"/>
  <c r="W41" i="69"/>
  <c r="L17" i="69"/>
  <c r="F41" i="69"/>
  <c r="M17" i="69" s="1"/>
  <c r="AK17" i="69" s="1"/>
  <c r="L22" i="69"/>
  <c r="W46" i="69"/>
  <c r="F46" i="69"/>
  <c r="M22" i="69" s="1"/>
  <c r="AK22" i="69" s="1"/>
  <c r="W52" i="69"/>
  <c r="L28" i="69"/>
  <c r="F52" i="69"/>
  <c r="M28" i="69" s="1"/>
  <c r="AK28" i="69" s="1"/>
  <c r="AP43" i="69"/>
  <c r="AI43" i="69" s="1"/>
  <c r="AQ43" i="69" s="1"/>
  <c r="AP51" i="69"/>
  <c r="AI51" i="69" s="1"/>
  <c r="AQ51" i="69" s="1"/>
  <c r="Q47" i="71"/>
  <c r="L47" i="71"/>
  <c r="R47" i="71" s="1"/>
  <c r="AE47" i="71" s="1"/>
  <c r="L44" i="71"/>
  <c r="R44" i="71" s="1"/>
  <c r="AE44" i="71" s="1"/>
  <c r="Q44" i="71"/>
  <c r="Q46" i="71"/>
  <c r="L46" i="71"/>
  <c r="R46" i="71" s="1"/>
  <c r="AE46" i="71" s="1"/>
  <c r="L42" i="71"/>
  <c r="R42" i="71" s="1"/>
  <c r="AE42" i="71" s="1"/>
  <c r="Q42" i="71"/>
  <c r="L37" i="71"/>
  <c r="R37" i="71" s="1"/>
  <c r="AE37" i="71" s="1"/>
  <c r="Q37" i="71"/>
  <c r="Q48" i="70"/>
  <c r="K29" i="70"/>
  <c r="L53" i="70"/>
  <c r="R53" i="70" s="1"/>
  <c r="AE53" i="70" s="1"/>
  <c r="K54" i="70"/>
  <c r="L54" i="70" s="1"/>
  <c r="R54" i="70" s="1"/>
  <c r="AE54" i="70" s="1"/>
  <c r="K30" i="70"/>
  <c r="L45" i="70"/>
  <c r="R45" i="70" s="1"/>
  <c r="AE45" i="70" s="1"/>
  <c r="Q45" i="70"/>
  <c r="K49" i="70"/>
  <c r="L49" i="70" s="1"/>
  <c r="K25" i="70"/>
  <c r="Q41" i="70"/>
  <c r="M41" i="70"/>
  <c r="S41" i="70" s="1"/>
  <c r="AF41" i="70" s="1"/>
  <c r="F45" i="70"/>
  <c r="M21" i="70" s="1"/>
  <c r="AK21" i="70" s="1"/>
  <c r="K21" i="70"/>
  <c r="K14" i="70"/>
  <c r="AP52" i="70"/>
  <c r="AI52" i="70" s="1"/>
  <c r="AQ52" i="70" s="1"/>
  <c r="L26" i="70"/>
  <c r="W50" i="70"/>
  <c r="F50" i="70"/>
  <c r="M26" i="70" s="1"/>
  <c r="AK26" i="70" s="1"/>
  <c r="AP51" i="70"/>
  <c r="AI51" i="70" s="1"/>
  <c r="AQ51" i="70" s="1"/>
  <c r="AP49" i="70"/>
  <c r="AI49" i="70" s="1"/>
  <c r="AQ49" i="70" s="1"/>
  <c r="L25" i="70"/>
  <c r="W49" i="70"/>
  <c r="F49" i="70"/>
  <c r="M25" i="70" s="1"/>
  <c r="AK25" i="70" s="1"/>
  <c r="L16" i="70"/>
  <c r="W40" i="70"/>
  <c r="F40" i="70"/>
  <c r="M16" i="70" s="1"/>
  <c r="AK16" i="70" s="1"/>
  <c r="L22" i="70"/>
  <c r="W46" i="70"/>
  <c r="F46" i="70"/>
  <c r="M22" i="70" s="1"/>
  <c r="AK22" i="70" s="1"/>
  <c r="L24" i="70"/>
  <c r="W48" i="70"/>
  <c r="F48" i="70"/>
  <c r="M24" i="70" s="1"/>
  <c r="AK24" i="70" s="1"/>
  <c r="Q51" i="69"/>
  <c r="L51" i="69"/>
  <c r="R51" i="69" s="1"/>
  <c r="AE51" i="69" s="1"/>
  <c r="Q39" i="69"/>
  <c r="L39" i="69"/>
  <c r="R39" i="69" s="1"/>
  <c r="AE39" i="69" s="1"/>
  <c r="Q50" i="69"/>
  <c r="L50" i="69"/>
  <c r="R50" i="69" s="1"/>
  <c r="AE50" i="69" s="1"/>
  <c r="L48" i="69"/>
  <c r="R48" i="69" s="1"/>
  <c r="AE48" i="69" s="1"/>
  <c r="Q48" i="69"/>
  <c r="K52" i="69"/>
  <c r="L36" i="69"/>
  <c r="R36" i="69" s="1"/>
  <c r="AE36" i="69" s="1"/>
  <c r="Q36" i="69"/>
  <c r="AP43" i="71"/>
  <c r="AI43" i="71" s="1"/>
  <c r="AQ43" i="71" s="1"/>
  <c r="AP48" i="71"/>
  <c r="AI48" i="71" s="1"/>
  <c r="AQ48" i="71" s="1"/>
  <c r="AP52" i="71"/>
  <c r="AI52" i="71" s="1"/>
  <c r="AQ52" i="71" s="1"/>
  <c r="AP51" i="54"/>
  <c r="AI51" i="54" s="1"/>
  <c r="AQ51" i="54" s="1"/>
  <c r="L45" i="54"/>
  <c r="R45" i="54" s="1"/>
  <c r="AE45" i="54" s="1"/>
  <c r="Q45" i="54"/>
  <c r="Q50" i="54"/>
  <c r="AP44" i="69"/>
  <c r="AI44" i="69" s="1"/>
  <c r="AQ44" i="69" s="1"/>
  <c r="AP53" i="69"/>
  <c r="AI53" i="69" s="1"/>
  <c r="AQ53" i="69" s="1"/>
  <c r="W45" i="69"/>
  <c r="L21" i="69"/>
  <c r="F45" i="69"/>
  <c r="M21" i="69" s="1"/>
  <c r="AK21" i="69" s="1"/>
  <c r="AP37" i="69"/>
  <c r="AI37" i="69" s="1"/>
  <c r="AA5" i="54"/>
  <c r="AA12" i="54"/>
  <c r="AA13" i="54"/>
  <c r="AA14" i="54"/>
  <c r="Q49" i="71"/>
  <c r="L49" i="71"/>
  <c r="R49" i="71" s="1"/>
  <c r="AE49" i="71" s="1"/>
  <c r="L48" i="71"/>
  <c r="Q48" i="71"/>
  <c r="K30" i="71"/>
  <c r="K50" i="70"/>
  <c r="L50" i="70" s="1"/>
  <c r="K26" i="70"/>
  <c r="Z26" i="70" s="1"/>
  <c r="Q44" i="70"/>
  <c r="K39" i="70"/>
  <c r="L39" i="70" s="1"/>
  <c r="F44" i="70"/>
  <c r="M20" i="70" s="1"/>
  <c r="AK20" i="70" s="1"/>
  <c r="L44" i="70"/>
  <c r="R44" i="70" s="1"/>
  <c r="AE44" i="70" s="1"/>
  <c r="K20" i="70"/>
  <c r="K36" i="70"/>
  <c r="L36" i="70" s="1"/>
  <c r="R36" i="70" s="1"/>
  <c r="AE36" i="70" s="1"/>
  <c r="K12" i="70"/>
  <c r="L19" i="70"/>
  <c r="W43" i="70"/>
  <c r="F43" i="70"/>
  <c r="M19" i="70" s="1"/>
  <c r="AK19" i="70" s="1"/>
  <c r="L29" i="70"/>
  <c r="W53" i="70"/>
  <c r="F53" i="70"/>
  <c r="M29" i="70" s="1"/>
  <c r="AK29" i="70" s="1"/>
  <c r="AP48" i="70"/>
  <c r="AI48" i="70" s="1"/>
  <c r="L20" i="70"/>
  <c r="W44" i="70"/>
  <c r="AP50" i="70"/>
  <c r="AI50" i="70" s="1"/>
  <c r="I53" i="70"/>
  <c r="J53" i="70" s="1"/>
  <c r="AH53" i="70" s="1"/>
  <c r="W38" i="70"/>
  <c r="L14" i="70"/>
  <c r="F38" i="70"/>
  <c r="M14" i="70" s="1"/>
  <c r="AK14" i="70" s="1"/>
  <c r="L12" i="70"/>
  <c r="W36" i="70"/>
  <c r="F36" i="70"/>
  <c r="M12" i="70" s="1"/>
  <c r="AK12" i="70" s="1"/>
  <c r="L46" i="69"/>
  <c r="R46" i="69" s="1"/>
  <c r="AE46" i="69" s="1"/>
  <c r="Q46" i="69"/>
  <c r="L45" i="69"/>
  <c r="R45" i="69" s="1"/>
  <c r="AE45" i="69" s="1"/>
  <c r="Q45" i="69"/>
  <c r="L49" i="69"/>
  <c r="R49" i="69" s="1"/>
  <c r="AE49" i="69" s="1"/>
  <c r="Q49" i="69"/>
  <c r="Q41" i="69"/>
  <c r="I38" i="66"/>
  <c r="J38" i="66" s="1"/>
  <c r="AH38" i="66" s="1"/>
  <c r="AP38" i="66" s="1"/>
  <c r="AI38" i="66" s="1"/>
  <c r="AQ38" i="66" s="1"/>
  <c r="AP42" i="71"/>
  <c r="AI42" i="71" s="1"/>
  <c r="AP41" i="71"/>
  <c r="AI41" i="71" s="1"/>
  <c r="AQ41" i="71" s="1"/>
  <c r="AP45" i="71"/>
  <c r="AI45" i="71" s="1"/>
  <c r="AP49" i="71"/>
  <c r="AI49" i="71" s="1"/>
  <c r="AQ49" i="71" s="1"/>
  <c r="W41" i="71"/>
  <c r="L17" i="71"/>
  <c r="F41" i="71"/>
  <c r="M17" i="71" s="1"/>
  <c r="AK17" i="71" s="1"/>
  <c r="W54" i="54"/>
  <c r="L30" i="54"/>
  <c r="Z30" i="54" s="1"/>
  <c r="F54" i="54"/>
  <c r="M30" i="54" s="1"/>
  <c r="AK30" i="54" s="1"/>
  <c r="AP44" i="54"/>
  <c r="AI44" i="54" s="1"/>
  <c r="AQ44" i="54" s="1"/>
  <c r="L18" i="54"/>
  <c r="W42" i="54"/>
  <c r="F42" i="54"/>
  <c r="M18" i="54" s="1"/>
  <c r="AK18" i="54" s="1"/>
  <c r="AP43" i="54"/>
  <c r="AI43" i="54" s="1"/>
  <c r="AQ43" i="54" s="1"/>
  <c r="AP39" i="54"/>
  <c r="AI39" i="54" s="1"/>
  <c r="AQ39" i="54" s="1"/>
  <c r="AP38" i="54"/>
  <c r="AI38" i="54" s="1"/>
  <c r="AQ38" i="54" s="1"/>
  <c r="Q53" i="54"/>
  <c r="L53" i="54"/>
  <c r="R53" i="54" s="1"/>
  <c r="AE53" i="54" s="1"/>
  <c r="Q39" i="54"/>
  <c r="L39" i="54"/>
  <c r="R39" i="54" s="1"/>
  <c r="AE39" i="54" s="1"/>
  <c r="K18" i="54"/>
  <c r="L42" i="54"/>
  <c r="R42" i="54" s="1"/>
  <c r="AE42" i="54" s="1"/>
  <c r="K26" i="54"/>
  <c r="Z26" i="54" s="1"/>
  <c r="L50" i="54"/>
  <c r="R50" i="54" s="1"/>
  <c r="AE50" i="54" s="1"/>
  <c r="AP50" i="69"/>
  <c r="AI50" i="69" s="1"/>
  <c r="AP42" i="69"/>
  <c r="AI42" i="69" s="1"/>
  <c r="AQ42" i="69" s="1"/>
  <c r="AP39" i="69"/>
  <c r="AI39" i="69" s="1"/>
  <c r="I41" i="69"/>
  <c r="J41" i="69" s="1"/>
  <c r="AH41" i="69" s="1"/>
  <c r="L30" i="69"/>
  <c r="Z30" i="69" s="1"/>
  <c r="W54" i="69"/>
  <c r="F54" i="69"/>
  <c r="M30" i="69" s="1"/>
  <c r="AK30" i="69" s="1"/>
  <c r="AP36" i="69"/>
  <c r="AI36" i="69" s="1"/>
  <c r="AQ36" i="69" s="1"/>
  <c r="AA23" i="54"/>
  <c r="L50" i="71"/>
  <c r="R50" i="71" s="1"/>
  <c r="AE50" i="71" s="1"/>
  <c r="Q50" i="71"/>
  <c r="Q51" i="71"/>
  <c r="L51" i="71"/>
  <c r="R51" i="71" s="1"/>
  <c r="AE51" i="71" s="1"/>
  <c r="L39" i="71"/>
  <c r="R39" i="71" s="1"/>
  <c r="AE39" i="71" s="1"/>
  <c r="Q39" i="71"/>
  <c r="Q36" i="71"/>
  <c r="L36" i="71"/>
  <c r="R36" i="71" s="1"/>
  <c r="AE36" i="71" s="1"/>
  <c r="AA5" i="68"/>
  <c r="AA20" i="68"/>
  <c r="AA12" i="68"/>
  <c r="AA18" i="68"/>
  <c r="AA21" i="68"/>
  <c r="AA19" i="68"/>
  <c r="AA15" i="68"/>
  <c r="AA13" i="68"/>
  <c r="AA17" i="68"/>
  <c r="AA25" i="68"/>
  <c r="AA24" i="68"/>
  <c r="AA28" i="68"/>
  <c r="AA27" i="68"/>
  <c r="AA29" i="68"/>
  <c r="AA16" i="68"/>
  <c r="AA30" i="68"/>
  <c r="AA22" i="68"/>
  <c r="AA23" i="68"/>
  <c r="AA14" i="68"/>
  <c r="AA26" i="68"/>
  <c r="K22" i="70"/>
  <c r="L52" i="70"/>
  <c r="R52" i="70" s="1"/>
  <c r="AE52" i="70" s="1"/>
  <c r="Q52" i="70"/>
  <c r="K40" i="70"/>
  <c r="L40" i="70" s="1"/>
  <c r="R40" i="70" s="1"/>
  <c r="AE40" i="70" s="1"/>
  <c r="K16" i="70"/>
  <c r="Z16" i="70" s="1"/>
  <c r="Q43" i="70"/>
  <c r="F52" i="70"/>
  <c r="M28" i="70" s="1"/>
  <c r="AK28" i="70" s="1"/>
  <c r="K28" i="70"/>
  <c r="K51" i="70"/>
  <c r="K19" i="70"/>
  <c r="Z19" i="70" s="1"/>
  <c r="L43" i="70"/>
  <c r="K13" i="70"/>
  <c r="AP54" i="70"/>
  <c r="AI54" i="70" s="1"/>
  <c r="AQ54" i="70" s="1"/>
  <c r="L18" i="70"/>
  <c r="W42" i="70"/>
  <c r="F42" i="70"/>
  <c r="M18" i="70" s="1"/>
  <c r="AK18" i="70" s="1"/>
  <c r="L17" i="70"/>
  <c r="Z17" i="70" s="1"/>
  <c r="W41" i="70"/>
  <c r="F41" i="70"/>
  <c r="M17" i="70" s="1"/>
  <c r="AK17" i="70" s="1"/>
  <c r="AP45" i="70"/>
  <c r="AI45" i="70" s="1"/>
  <c r="AQ45" i="70" s="1"/>
  <c r="AP47" i="70"/>
  <c r="AI47" i="70" s="1"/>
  <c r="AQ47" i="70" s="1"/>
  <c r="L28" i="70"/>
  <c r="W52" i="70"/>
  <c r="W45" i="70"/>
  <c r="L21" i="70"/>
  <c r="I44" i="70"/>
  <c r="J44" i="70" s="1"/>
  <c r="AH44" i="70" s="1"/>
  <c r="I36" i="70"/>
  <c r="J36" i="70" s="1"/>
  <c r="AH36" i="70" s="1"/>
  <c r="AG23" i="54"/>
  <c r="K21" i="69"/>
  <c r="K17" i="69"/>
  <c r="L41" i="69"/>
  <c r="R41" i="69" s="1"/>
  <c r="AE41" i="69" s="1"/>
  <c r="Q42" i="69"/>
  <c r="K22" i="69"/>
  <c r="L47" i="69"/>
  <c r="R47" i="69" s="1"/>
  <c r="AE47" i="69" s="1"/>
  <c r="Q47" i="69"/>
  <c r="L37" i="69"/>
  <c r="R37" i="69" s="1"/>
  <c r="AE37" i="69" s="1"/>
  <c r="Q37" i="69"/>
  <c r="I54" i="71"/>
  <c r="J54" i="71" s="1"/>
  <c r="AH54" i="71" s="1"/>
  <c r="W54" i="71"/>
  <c r="L30" i="71"/>
  <c r="F54" i="71"/>
  <c r="M30" i="71" s="1"/>
  <c r="AK30" i="71" s="1"/>
  <c r="AP50" i="71"/>
  <c r="AI50" i="71" s="1"/>
  <c r="AP44" i="71"/>
  <c r="AI44" i="71" s="1"/>
  <c r="AQ44" i="71" s="1"/>
  <c r="AP39" i="71"/>
  <c r="AI39" i="71" s="1"/>
  <c r="AP38" i="71"/>
  <c r="AI38" i="71" s="1"/>
  <c r="AQ38" i="71" s="1"/>
  <c r="AP46" i="54"/>
  <c r="AI46" i="54" s="1"/>
  <c r="AP52" i="54"/>
  <c r="AI52" i="54" s="1"/>
  <c r="AQ52" i="54" s="1"/>
  <c r="AP49" i="54"/>
  <c r="AI49" i="54" s="1"/>
  <c r="AP47" i="54"/>
  <c r="AI47" i="54" s="1"/>
  <c r="AQ47" i="54" s="1"/>
  <c r="AP48" i="54"/>
  <c r="AI48" i="54" s="1"/>
  <c r="AP36" i="54"/>
  <c r="AI36" i="54" s="1"/>
  <c r="AQ36" i="54" s="1"/>
  <c r="Q52" i="54"/>
  <c r="L52" i="54"/>
  <c r="R52" i="54" s="1"/>
  <c r="AE52" i="54" s="1"/>
  <c r="L49" i="54"/>
  <c r="N49" i="54" s="1"/>
  <c r="T49" i="54" s="1"/>
  <c r="AG49" i="54" s="1"/>
  <c r="Q49" i="54"/>
  <c r="Q43" i="54"/>
  <c r="L43" i="54"/>
  <c r="R43" i="54" s="1"/>
  <c r="AE43" i="54" s="1"/>
  <c r="L51" i="54"/>
  <c r="R51" i="54" s="1"/>
  <c r="AE51" i="54" s="1"/>
  <c r="Q51" i="54"/>
  <c r="Q41" i="54"/>
  <c r="L41" i="54"/>
  <c r="AP47" i="69"/>
  <c r="AI47" i="69" s="1"/>
  <c r="AQ47" i="69" s="1"/>
  <c r="AP48" i="69"/>
  <c r="AI48" i="69" s="1"/>
  <c r="AQ48" i="69" s="1"/>
  <c r="W42" i="69"/>
  <c r="L18" i="69"/>
  <c r="F42" i="69"/>
  <c r="M18" i="69" s="1"/>
  <c r="AK18" i="69" s="1"/>
  <c r="AP54" i="69"/>
  <c r="AI54" i="69" s="1"/>
  <c r="I46" i="69"/>
  <c r="J46" i="69" s="1"/>
  <c r="AH46" i="69" s="1"/>
  <c r="AP38" i="69"/>
  <c r="AI38" i="69" s="1"/>
  <c r="AQ38" i="69" s="1"/>
  <c r="L45" i="71"/>
  <c r="R45" i="71" s="1"/>
  <c r="AE45" i="71" s="1"/>
  <c r="Q45" i="71"/>
  <c r="K17" i="71"/>
  <c r="Z17" i="71" s="1"/>
  <c r="Q40" i="71"/>
  <c r="L40" i="71"/>
  <c r="K54" i="71"/>
  <c r="L53" i="71"/>
  <c r="R53" i="71" s="1"/>
  <c r="AE53" i="71" s="1"/>
  <c r="Q53" i="71"/>
  <c r="Q38" i="71"/>
  <c r="L38" i="71"/>
  <c r="R38" i="71" s="1"/>
  <c r="AE38" i="71" s="1"/>
  <c r="Q42" i="70"/>
  <c r="Q47" i="70"/>
  <c r="K46" i="70"/>
  <c r="K18" i="70"/>
  <c r="Z18" i="70" s="1"/>
  <c r="L42" i="70"/>
  <c r="R42" i="70" s="1"/>
  <c r="AE42" i="70" s="1"/>
  <c r="K23" i="70"/>
  <c r="L47" i="70"/>
  <c r="R47" i="70" s="1"/>
  <c r="AE47" i="70" s="1"/>
  <c r="K24" i="70"/>
  <c r="L48" i="70"/>
  <c r="K37" i="70"/>
  <c r="K38" i="70"/>
  <c r="AP46" i="70"/>
  <c r="AI46" i="70" s="1"/>
  <c r="AQ46" i="70" s="1"/>
  <c r="AP39" i="70"/>
  <c r="AI39" i="70" s="1"/>
  <c r="AQ39" i="70" s="1"/>
  <c r="L27" i="70"/>
  <c r="W51" i="70"/>
  <c r="F51" i="70"/>
  <c r="M27" i="70" s="1"/>
  <c r="AK27" i="70" s="1"/>
  <c r="W39" i="70"/>
  <c r="L15" i="70"/>
  <c r="I42" i="70"/>
  <c r="J42" i="70" s="1"/>
  <c r="AH42" i="70" s="1"/>
  <c r="L30" i="70"/>
  <c r="W54" i="70"/>
  <c r="F54" i="70"/>
  <c r="M30" i="70" s="1"/>
  <c r="AK30" i="70" s="1"/>
  <c r="W47" i="70"/>
  <c r="L23" i="70"/>
  <c r="F47" i="70"/>
  <c r="M23" i="70" s="1"/>
  <c r="AK23" i="70" s="1"/>
  <c r="W37" i="70"/>
  <c r="L13" i="70"/>
  <c r="F37" i="70"/>
  <c r="M13" i="70" s="1"/>
  <c r="AK13" i="70" s="1"/>
  <c r="I38" i="70"/>
  <c r="J38" i="70" s="1"/>
  <c r="AH38" i="70" s="1"/>
  <c r="Z28" i="69"/>
  <c r="Q43" i="69"/>
  <c r="L43" i="69"/>
  <c r="R43" i="69" s="1"/>
  <c r="AE43" i="69" s="1"/>
  <c r="K54" i="69"/>
  <c r="L53" i="69"/>
  <c r="R53" i="69" s="1"/>
  <c r="AE53" i="69" s="1"/>
  <c r="Q53" i="69"/>
  <c r="K18" i="69"/>
  <c r="L42" i="69"/>
  <c r="M42" i="69" s="1"/>
  <c r="S42" i="69" s="1"/>
  <c r="AF42" i="69" s="1"/>
  <c r="Q44" i="69"/>
  <c r="L44" i="69"/>
  <c r="L38" i="69"/>
  <c r="M38" i="69" s="1"/>
  <c r="S38" i="69" s="1"/>
  <c r="AF38" i="69" s="1"/>
  <c r="Q38" i="69"/>
  <c r="I37" i="66"/>
  <c r="J37" i="66" s="1"/>
  <c r="AH37" i="66" s="1"/>
  <c r="AP37" i="66" s="1"/>
  <c r="AI37" i="66" s="1"/>
  <c r="AQ37" i="66" s="1"/>
  <c r="K43" i="66"/>
  <c r="Q43" i="66" s="1"/>
  <c r="K49" i="66"/>
  <c r="L49" i="66" s="1"/>
  <c r="K45" i="66"/>
  <c r="L45" i="66" s="1"/>
  <c r="N45" i="66" s="1"/>
  <c r="K54" i="66"/>
  <c r="L54" i="66" s="1"/>
  <c r="F36" i="66"/>
  <c r="K53" i="66"/>
  <c r="Q53" i="66" s="1"/>
  <c r="F49" i="66"/>
  <c r="M25" i="66" s="1"/>
  <c r="AK25" i="66" s="1"/>
  <c r="L25" i="66"/>
  <c r="W49" i="66"/>
  <c r="W48" i="66"/>
  <c r="L24" i="66"/>
  <c r="F51" i="66"/>
  <c r="M27" i="66" s="1"/>
  <c r="AK27" i="66" s="1"/>
  <c r="W51" i="66"/>
  <c r="L27" i="66"/>
  <c r="F45" i="66"/>
  <c r="M21" i="66" s="1"/>
  <c r="AK21" i="66" s="1"/>
  <c r="W45" i="66"/>
  <c r="L21" i="66"/>
  <c r="Z21" i="66" s="1"/>
  <c r="F52" i="66"/>
  <c r="M28" i="66" s="1"/>
  <c r="AK28" i="66" s="1"/>
  <c r="L28" i="66"/>
  <c r="Z28" i="66" s="1"/>
  <c r="W52" i="66"/>
  <c r="F46" i="66"/>
  <c r="M22" i="66" s="1"/>
  <c r="AK22" i="66" s="1"/>
  <c r="L22" i="66"/>
  <c r="Z22" i="66" s="1"/>
  <c r="W46" i="66"/>
  <c r="F40" i="66"/>
  <c r="M16" i="66" s="1"/>
  <c r="AK16" i="66" s="1"/>
  <c r="W40" i="66"/>
  <c r="L16" i="66"/>
  <c r="Z16" i="66" s="1"/>
  <c r="F39" i="66"/>
  <c r="M15" i="66" s="1"/>
  <c r="AK15" i="66" s="1"/>
  <c r="W39" i="66"/>
  <c r="L15" i="66"/>
  <c r="Z15" i="66" s="1"/>
  <c r="F47" i="66"/>
  <c r="M23" i="66" s="1"/>
  <c r="AK23" i="66" s="1"/>
  <c r="W47" i="66"/>
  <c r="L23" i="66"/>
  <c r="Z23" i="66" s="1"/>
  <c r="F53" i="66"/>
  <c r="M29" i="66" s="1"/>
  <c r="AK29" i="66" s="1"/>
  <c r="W53" i="66"/>
  <c r="L29" i="66"/>
  <c r="Z29" i="66" s="1"/>
  <c r="F41" i="66"/>
  <c r="M17" i="66" s="1"/>
  <c r="AK17" i="66" s="1"/>
  <c r="L17" i="66"/>
  <c r="Z17" i="66" s="1"/>
  <c r="W41" i="66"/>
  <c r="F43" i="66"/>
  <c r="M19" i="66" s="1"/>
  <c r="AK19" i="66" s="1"/>
  <c r="L19" i="66"/>
  <c r="Z19" i="66" s="1"/>
  <c r="W43" i="66"/>
  <c r="F44" i="66"/>
  <c r="M20" i="66" s="1"/>
  <c r="AK20" i="66" s="1"/>
  <c r="L20" i="66"/>
  <c r="Z20" i="66" s="1"/>
  <c r="W44" i="66"/>
  <c r="F48" i="66"/>
  <c r="M24" i="66" s="1"/>
  <c r="AK24" i="66" s="1"/>
  <c r="K24" i="66"/>
  <c r="F50" i="66"/>
  <c r="M26" i="66" s="1"/>
  <c r="AK26" i="66" s="1"/>
  <c r="L26" i="66"/>
  <c r="Z26" i="66" s="1"/>
  <c r="W50" i="66"/>
  <c r="F42" i="66"/>
  <c r="M18" i="66" s="1"/>
  <c r="AK18" i="66" s="1"/>
  <c r="L18" i="66"/>
  <c r="Z18" i="66" s="1"/>
  <c r="W42" i="66"/>
  <c r="F54" i="66"/>
  <c r="M30" i="66" s="1"/>
  <c r="AK30" i="66" s="1"/>
  <c r="W54" i="66"/>
  <c r="L30" i="66"/>
  <c r="Z30" i="66" s="1"/>
  <c r="Q52" i="66"/>
  <c r="L52" i="66"/>
  <c r="AO52" i="66" s="1"/>
  <c r="AD28" i="66" s="1"/>
  <c r="Q49" i="66"/>
  <c r="L37" i="66"/>
  <c r="Q48" i="66"/>
  <c r="L48" i="66"/>
  <c r="AN48" i="66" s="1"/>
  <c r="AC24" i="66" s="1"/>
  <c r="Q44" i="66"/>
  <c r="L44" i="66"/>
  <c r="L42" i="66"/>
  <c r="Q40" i="66"/>
  <c r="L40" i="66"/>
  <c r="Q50" i="66"/>
  <c r="L50" i="66"/>
  <c r="Q51" i="66"/>
  <c r="L51" i="66"/>
  <c r="Q47" i="66"/>
  <c r="L47" i="66"/>
  <c r="N47" i="66" s="1"/>
  <c r="Q39" i="66"/>
  <c r="L39" i="66"/>
  <c r="Q46" i="66"/>
  <c r="L46" i="66"/>
  <c r="M46" i="66" s="1"/>
  <c r="M36" i="66"/>
  <c r="Q37" i="66"/>
  <c r="AD37" i="66" s="1"/>
  <c r="AP36" i="66"/>
  <c r="AI36" i="66" s="1"/>
  <c r="AQ36" i="66" s="1"/>
  <c r="M38" i="66"/>
  <c r="Q38" i="66"/>
  <c r="AD38" i="66" s="1"/>
  <c r="Q36" i="66"/>
  <c r="AD36" i="66" s="1"/>
  <c r="AP40" i="66"/>
  <c r="AI40" i="66" s="1"/>
  <c r="AQ40" i="66" s="1"/>
  <c r="AP39" i="66"/>
  <c r="AI39" i="66" s="1"/>
  <c r="AQ39" i="66" s="1"/>
  <c r="AP49" i="66"/>
  <c r="AI49" i="66" s="1"/>
  <c r="AQ49" i="66" s="1"/>
  <c r="AP43" i="66"/>
  <c r="AI43" i="66" s="1"/>
  <c r="AQ43" i="66" s="1"/>
  <c r="AP47" i="66"/>
  <c r="AI47" i="66" s="1"/>
  <c r="AQ47" i="66" s="1"/>
  <c r="AP52" i="66"/>
  <c r="AI52" i="66" s="1"/>
  <c r="AQ52" i="66" s="1"/>
  <c r="AP45" i="66"/>
  <c r="AI45" i="66" s="1"/>
  <c r="AQ45" i="66" s="1"/>
  <c r="AP48" i="66"/>
  <c r="AI48" i="66" s="1"/>
  <c r="AQ48" i="66" s="1"/>
  <c r="I98" i="44"/>
  <c r="I106" i="44"/>
  <c r="I103" i="44"/>
  <c r="I107" i="44"/>
  <c r="I102" i="44"/>
  <c r="I105" i="44"/>
  <c r="I104" i="44"/>
  <c r="I99" i="44"/>
  <c r="I111" i="44"/>
  <c r="I110" i="44"/>
  <c r="I97" i="44"/>
  <c r="I101" i="44"/>
  <c r="I109" i="44"/>
  <c r="K97" i="44"/>
  <c r="K102" i="44"/>
  <c r="K101" i="44"/>
  <c r="K106" i="44"/>
  <c r="K107" i="44"/>
  <c r="K108" i="44"/>
  <c r="K105" i="44"/>
  <c r="K98" i="44"/>
  <c r="K111" i="44"/>
  <c r="K109" i="44"/>
  <c r="Z5" i="66"/>
  <c r="AA5" i="66" s="1"/>
  <c r="Z25" i="66"/>
  <c r="Z27" i="66"/>
  <c r="K99" i="44"/>
  <c r="AP53" i="66"/>
  <c r="AI53" i="66" s="1"/>
  <c r="AQ53" i="66" s="1"/>
  <c r="AP51" i="66"/>
  <c r="AI51" i="66" s="1"/>
  <c r="AQ51" i="66" s="1"/>
  <c r="AP50" i="66"/>
  <c r="AI50" i="66" s="1"/>
  <c r="AQ50" i="66" s="1"/>
  <c r="AP44" i="66"/>
  <c r="AI44" i="66" s="1"/>
  <c r="AQ44" i="66" s="1"/>
  <c r="AP42" i="66"/>
  <c r="AI42" i="66" s="1"/>
  <c r="AQ42" i="66" s="1"/>
  <c r="AP41" i="66"/>
  <c r="AI41" i="66" s="1"/>
  <c r="AQ41" i="66" s="1"/>
  <c r="AP46" i="66"/>
  <c r="AI46" i="66" s="1"/>
  <c r="AQ46" i="66" s="1"/>
  <c r="AP54" i="66"/>
  <c r="AI54" i="66" s="1"/>
  <c r="AQ54" i="66" s="1"/>
  <c r="O99" i="44"/>
  <c r="O104" i="44"/>
  <c r="O110" i="44"/>
  <c r="O101" i="44"/>
  <c r="O111" i="44"/>
  <c r="K110" i="44"/>
  <c r="M45" i="69" l="1"/>
  <c r="L43" i="66"/>
  <c r="AO43" i="66" s="1"/>
  <c r="AD19" i="66" s="1"/>
  <c r="M45" i="54"/>
  <c r="S45" i="54" s="1"/>
  <c r="AF45" i="54" s="1"/>
  <c r="L41" i="66"/>
  <c r="M41" i="66" s="1"/>
  <c r="N53" i="69"/>
  <c r="T53" i="69" s="1"/>
  <c r="AG53" i="69" s="1"/>
  <c r="M41" i="71"/>
  <c r="M39" i="54"/>
  <c r="S39" i="54" s="1"/>
  <c r="AF39" i="54" s="1"/>
  <c r="AN53" i="69"/>
  <c r="AC29" i="69" s="1"/>
  <c r="Z21" i="69"/>
  <c r="N39" i="54"/>
  <c r="T39" i="54" s="1"/>
  <c r="AG39" i="54" s="1"/>
  <c r="N49" i="71"/>
  <c r="T49" i="71" s="1"/>
  <c r="AG49" i="71" s="1"/>
  <c r="M51" i="71"/>
  <c r="S51" i="71" s="1"/>
  <c r="AF51" i="71" s="1"/>
  <c r="M49" i="71"/>
  <c r="S49" i="71" s="1"/>
  <c r="AF49" i="71" s="1"/>
  <c r="AO53" i="69"/>
  <c r="AD29" i="69" s="1"/>
  <c r="AO43" i="69"/>
  <c r="AD19" i="69" s="1"/>
  <c r="N53" i="71"/>
  <c r="T53" i="71" s="1"/>
  <c r="AG53" i="71" s="1"/>
  <c r="AK48" i="69"/>
  <c r="N45" i="69"/>
  <c r="T45" i="69" s="1"/>
  <c r="AG45" i="69" s="1"/>
  <c r="M39" i="71"/>
  <c r="AO48" i="69"/>
  <c r="AD24" i="69" s="1"/>
  <c r="AE24" i="69" s="1"/>
  <c r="M40" i="54"/>
  <c r="S40" i="54" s="1"/>
  <c r="AF40" i="54" s="1"/>
  <c r="Z18" i="69"/>
  <c r="AN48" i="69"/>
  <c r="AC24" i="69" s="1"/>
  <c r="N47" i="70"/>
  <c r="T47" i="70" s="1"/>
  <c r="AG47" i="70" s="1"/>
  <c r="AN43" i="69"/>
  <c r="AC19" i="69" s="1"/>
  <c r="AK39" i="70"/>
  <c r="AK38" i="69"/>
  <c r="M46" i="69"/>
  <c r="AO46" i="69" s="1"/>
  <c r="AD22" i="69" s="1"/>
  <c r="Z17" i="69"/>
  <c r="N39" i="71"/>
  <c r="T39" i="71" s="1"/>
  <c r="AG39" i="71" s="1"/>
  <c r="M50" i="71"/>
  <c r="S50" i="71" s="1"/>
  <c r="AF50" i="71" s="1"/>
  <c r="AO52" i="70"/>
  <c r="AD28" i="70" s="1"/>
  <c r="AK38" i="54"/>
  <c r="N49" i="69"/>
  <c r="T49" i="69" s="1"/>
  <c r="AG49" i="69" s="1"/>
  <c r="M36" i="69"/>
  <c r="S36" i="69" s="1"/>
  <c r="AF36" i="69" s="1"/>
  <c r="M50" i="69"/>
  <c r="S50" i="69" s="1"/>
  <c r="AF50" i="69" s="1"/>
  <c r="N44" i="71"/>
  <c r="T44" i="71" s="1"/>
  <c r="AG44" i="71" s="1"/>
  <c r="M46" i="54"/>
  <c r="S46" i="54" s="1"/>
  <c r="AF46" i="54" s="1"/>
  <c r="Z24" i="70"/>
  <c r="N42" i="70"/>
  <c r="T42" i="70" s="1"/>
  <c r="AG42" i="70" s="1"/>
  <c r="AO52" i="54"/>
  <c r="AD28" i="54" s="1"/>
  <c r="N53" i="54"/>
  <c r="T53" i="54" s="1"/>
  <c r="AG53" i="54" s="1"/>
  <c r="AK53" i="69"/>
  <c r="AO50" i="69"/>
  <c r="AD26" i="69" s="1"/>
  <c r="M46" i="71"/>
  <c r="S46" i="71" s="1"/>
  <c r="AF46" i="71" s="1"/>
  <c r="N44" i="54"/>
  <c r="T44" i="54" s="1"/>
  <c r="AG44" i="54" s="1"/>
  <c r="AK41" i="70"/>
  <c r="M42" i="70"/>
  <c r="S42" i="70" s="1"/>
  <c r="AF42" i="70" s="1"/>
  <c r="AN43" i="54"/>
  <c r="AC19" i="54" s="1"/>
  <c r="M37" i="69"/>
  <c r="AN37" i="69" s="1"/>
  <c r="AC13" i="69" s="1"/>
  <c r="AN45" i="69"/>
  <c r="AC21" i="69" s="1"/>
  <c r="M42" i="54"/>
  <c r="S42" i="54" s="1"/>
  <c r="AF42" i="54" s="1"/>
  <c r="AK43" i="54"/>
  <c r="M36" i="70"/>
  <c r="S36" i="70" s="1"/>
  <c r="AF36" i="70" s="1"/>
  <c r="Z20" i="70"/>
  <c r="M51" i="69"/>
  <c r="M45" i="70"/>
  <c r="S45" i="70" s="1"/>
  <c r="AF45" i="70" s="1"/>
  <c r="M42" i="71"/>
  <c r="S42" i="71" s="1"/>
  <c r="AF42" i="71" s="1"/>
  <c r="AO48" i="54"/>
  <c r="AD24" i="54" s="1"/>
  <c r="AK47" i="71"/>
  <c r="AK45" i="69"/>
  <c r="Z28" i="70"/>
  <c r="Z30" i="71"/>
  <c r="M39" i="69"/>
  <c r="S39" i="69" s="1"/>
  <c r="AF39" i="69" s="1"/>
  <c r="N45" i="70"/>
  <c r="T45" i="70" s="1"/>
  <c r="AG45" i="70" s="1"/>
  <c r="AO41" i="70"/>
  <c r="AD17" i="70" s="1"/>
  <c r="M37" i="71"/>
  <c r="S37" i="71" s="1"/>
  <c r="AF37" i="71" s="1"/>
  <c r="M40" i="69"/>
  <c r="S40" i="69" s="1"/>
  <c r="AF40" i="69" s="1"/>
  <c r="AK40" i="70"/>
  <c r="L53" i="66"/>
  <c r="N53" i="66" s="1"/>
  <c r="N45" i="71"/>
  <c r="Z23" i="70"/>
  <c r="M38" i="71"/>
  <c r="S38" i="71" s="1"/>
  <c r="AF38" i="71" s="1"/>
  <c r="M45" i="71"/>
  <c r="S45" i="71" s="1"/>
  <c r="AF45" i="71" s="1"/>
  <c r="AK47" i="69"/>
  <c r="M51" i="54"/>
  <c r="S51" i="54" s="1"/>
  <c r="AF51" i="54" s="1"/>
  <c r="AO43" i="54"/>
  <c r="AD19" i="54" s="1"/>
  <c r="AE19" i="54" s="1"/>
  <c r="N47" i="69"/>
  <c r="T47" i="69" s="1"/>
  <c r="AG47" i="69" s="1"/>
  <c r="AK45" i="70"/>
  <c r="AK54" i="70"/>
  <c r="N44" i="70"/>
  <c r="T44" i="70" s="1"/>
  <c r="AG44" i="70" s="1"/>
  <c r="AO44" i="71"/>
  <c r="AD20" i="71" s="1"/>
  <c r="N47" i="71"/>
  <c r="T47" i="71" s="1"/>
  <c r="AG47" i="71" s="1"/>
  <c r="AN48" i="54"/>
  <c r="AC24" i="54" s="1"/>
  <c r="AE24" i="54" s="1"/>
  <c r="R38" i="69"/>
  <c r="AE38" i="69" s="1"/>
  <c r="AO38" i="69"/>
  <c r="AD14" i="69" s="1"/>
  <c r="AD47" i="70"/>
  <c r="AD38" i="71"/>
  <c r="AQ48" i="54"/>
  <c r="AK48" i="54"/>
  <c r="AQ46" i="54"/>
  <c r="AK46" i="54"/>
  <c r="AQ50" i="71"/>
  <c r="AK50" i="71"/>
  <c r="O30" i="71"/>
  <c r="AA54" i="71"/>
  <c r="R43" i="70"/>
  <c r="AE43" i="70" s="1"/>
  <c r="AO43" i="70"/>
  <c r="AD19" i="70" s="1"/>
  <c r="AN43" i="70"/>
  <c r="AC19" i="70" s="1"/>
  <c r="AQ39" i="69"/>
  <c r="AK39" i="69"/>
  <c r="R39" i="70"/>
  <c r="AE39" i="70" s="1"/>
  <c r="M39" i="70"/>
  <c r="S39" i="70" s="1"/>
  <c r="AF39" i="70" s="1"/>
  <c r="R48" i="71"/>
  <c r="AE48" i="71" s="1"/>
  <c r="AO48" i="71"/>
  <c r="AD24" i="71" s="1"/>
  <c r="AN48" i="71"/>
  <c r="AC24" i="71" s="1"/>
  <c r="AN38" i="69"/>
  <c r="AC14" i="69" s="1"/>
  <c r="L54" i="69"/>
  <c r="R54" i="69" s="1"/>
  <c r="AE54" i="69" s="1"/>
  <c r="Q54" i="69"/>
  <c r="AD43" i="69"/>
  <c r="AJ43" i="69" s="1"/>
  <c r="V43" i="69"/>
  <c r="Z43" i="69"/>
  <c r="O23" i="70"/>
  <c r="AA47" i="70"/>
  <c r="AP42" i="70"/>
  <c r="AI42" i="70" s="1"/>
  <c r="AQ42" i="70" s="1"/>
  <c r="O27" i="70"/>
  <c r="AA51" i="70"/>
  <c r="AK46" i="70"/>
  <c r="R48" i="70"/>
  <c r="AE48" i="70" s="1"/>
  <c r="AO48" i="70"/>
  <c r="AD24" i="70" s="1"/>
  <c r="AN48" i="70"/>
  <c r="AC24" i="70" s="1"/>
  <c r="AO42" i="70"/>
  <c r="AD18" i="70" s="1"/>
  <c r="Q54" i="71"/>
  <c r="L54" i="71"/>
  <c r="R54" i="71" s="1"/>
  <c r="AE54" i="71" s="1"/>
  <c r="S41" i="71"/>
  <c r="AF41" i="71" s="1"/>
  <c r="AO41" i="71"/>
  <c r="AD17" i="71" s="1"/>
  <c r="AN41" i="71"/>
  <c r="AC17" i="71" s="1"/>
  <c r="S39" i="71"/>
  <c r="AF39" i="71" s="1"/>
  <c r="AO39" i="71"/>
  <c r="AD15" i="71" s="1"/>
  <c r="AN39" i="71"/>
  <c r="AC15" i="71" s="1"/>
  <c r="AA54" i="69"/>
  <c r="O30" i="69"/>
  <c r="O17" i="71"/>
  <c r="AA41" i="71"/>
  <c r="AQ42" i="71"/>
  <c r="AK42" i="71"/>
  <c r="AQ48" i="70"/>
  <c r="AK48" i="70"/>
  <c r="R49" i="70"/>
  <c r="AE49" i="70" s="1"/>
  <c r="M49" i="70"/>
  <c r="S49" i="70" s="1"/>
  <c r="AF49" i="70" s="1"/>
  <c r="N49" i="70"/>
  <c r="T49" i="70" s="1"/>
  <c r="AG49" i="70" s="1"/>
  <c r="N42" i="69"/>
  <c r="T42" i="69" s="1"/>
  <c r="AG42" i="69" s="1"/>
  <c r="R42" i="69"/>
  <c r="AE42" i="69" s="1"/>
  <c r="AA37" i="70"/>
  <c r="O13" i="70"/>
  <c r="Q46" i="70"/>
  <c r="L46" i="70"/>
  <c r="R46" i="70" s="1"/>
  <c r="AE46" i="70" s="1"/>
  <c r="AN42" i="70"/>
  <c r="AC18" i="70" s="1"/>
  <c r="AD45" i="71"/>
  <c r="AP46" i="69"/>
  <c r="AI46" i="69" s="1"/>
  <c r="AQ46" i="69" s="1"/>
  <c r="Z52" i="54"/>
  <c r="V52" i="54"/>
  <c r="AD52" i="54"/>
  <c r="AJ52" i="54" s="1"/>
  <c r="AQ49" i="54"/>
  <c r="AK49" i="54"/>
  <c r="AQ39" i="71"/>
  <c r="AK39" i="71"/>
  <c r="S45" i="69"/>
  <c r="AF45" i="69" s="1"/>
  <c r="AP36" i="70"/>
  <c r="AI36" i="70" s="1"/>
  <c r="AQ36" i="70" s="1"/>
  <c r="O28" i="70"/>
  <c r="AA52" i="70"/>
  <c r="M40" i="70"/>
  <c r="S40" i="70" s="1"/>
  <c r="AF40" i="70" s="1"/>
  <c r="AQ50" i="69"/>
  <c r="AK50" i="69"/>
  <c r="AQ50" i="70"/>
  <c r="AK50" i="70"/>
  <c r="AD38" i="69"/>
  <c r="Z38" i="69"/>
  <c r="R44" i="69"/>
  <c r="AE44" i="69" s="1"/>
  <c r="N44" i="69"/>
  <c r="AD53" i="69"/>
  <c r="AJ53" i="69" s="1"/>
  <c r="U29" i="69" s="1"/>
  <c r="V29" i="69" s="1"/>
  <c r="AN29" i="69" s="1"/>
  <c r="Z53" i="69"/>
  <c r="V53" i="69"/>
  <c r="AP38" i="70"/>
  <c r="AI38" i="70" s="1"/>
  <c r="AQ38" i="70" s="1"/>
  <c r="O30" i="70"/>
  <c r="AA54" i="70"/>
  <c r="AA39" i="70"/>
  <c r="O15" i="70"/>
  <c r="Q38" i="70"/>
  <c r="L38" i="70"/>
  <c r="R38" i="70" s="1"/>
  <c r="AE38" i="70" s="1"/>
  <c r="AD53" i="71"/>
  <c r="V53" i="71"/>
  <c r="R40" i="71"/>
  <c r="AE40" i="71" s="1"/>
  <c r="M40" i="71"/>
  <c r="AN40" i="71" s="1"/>
  <c r="AC16" i="71" s="1"/>
  <c r="T45" i="71"/>
  <c r="AG45" i="71" s="1"/>
  <c r="AN45" i="71"/>
  <c r="AC21" i="71" s="1"/>
  <c r="AQ54" i="69"/>
  <c r="AK54" i="69"/>
  <c r="M41" i="54"/>
  <c r="S41" i="54" s="1"/>
  <c r="AF41" i="54" s="1"/>
  <c r="R41" i="54"/>
  <c r="AE41" i="54" s="1"/>
  <c r="R49" i="54"/>
  <c r="AE49" i="54" s="1"/>
  <c r="M49" i="54"/>
  <c r="S49" i="54" s="1"/>
  <c r="AF49" i="54" s="1"/>
  <c r="AD42" i="69"/>
  <c r="AD39" i="71"/>
  <c r="U14" i="54"/>
  <c r="V14" i="54" s="1"/>
  <c r="AN14" i="54" s="1"/>
  <c r="AL38" i="54"/>
  <c r="AQ45" i="71"/>
  <c r="AK45" i="71"/>
  <c r="AD41" i="69"/>
  <c r="R50" i="70"/>
  <c r="AE50" i="70" s="1"/>
  <c r="M50" i="70"/>
  <c r="S50" i="70" s="1"/>
  <c r="AF50" i="70" s="1"/>
  <c r="AQ37" i="69"/>
  <c r="AK37" i="69"/>
  <c r="AD36" i="69"/>
  <c r="AJ36" i="69" s="1"/>
  <c r="AA48" i="70"/>
  <c r="O24" i="70"/>
  <c r="AA50" i="70"/>
  <c r="O26" i="70"/>
  <c r="AD48" i="70"/>
  <c r="AJ48" i="70" s="1"/>
  <c r="U24" i="70" s="1"/>
  <c r="V24" i="70" s="1"/>
  <c r="AN24" i="70" s="1"/>
  <c r="V37" i="71"/>
  <c r="Z37" i="71"/>
  <c r="AD37" i="71"/>
  <c r="AJ37" i="71" s="1"/>
  <c r="AD46" i="71"/>
  <c r="AJ46" i="71" s="1"/>
  <c r="Z46" i="71"/>
  <c r="V46" i="71"/>
  <c r="AD44" i="71"/>
  <c r="AJ44" i="71" s="1"/>
  <c r="V44" i="71"/>
  <c r="Z44" i="71"/>
  <c r="AD48" i="54"/>
  <c r="AJ48" i="54" s="1"/>
  <c r="Z48" i="54"/>
  <c r="V48" i="54"/>
  <c r="AD42" i="54"/>
  <c r="AP50" i="54"/>
  <c r="AI50" i="54" s="1"/>
  <c r="AQ50" i="54" s="1"/>
  <c r="Z27" i="70"/>
  <c r="AD52" i="71"/>
  <c r="AJ52" i="71" s="1"/>
  <c r="Z52" i="71"/>
  <c r="V52" i="71"/>
  <c r="AD44" i="69"/>
  <c r="L37" i="70"/>
  <c r="Q37" i="70"/>
  <c r="AD42" i="70"/>
  <c r="AJ42" i="70" s="1"/>
  <c r="V42" i="70"/>
  <c r="N18" i="70" s="1"/>
  <c r="Z42" i="70"/>
  <c r="AD40" i="71"/>
  <c r="AA42" i="69"/>
  <c r="O18" i="69"/>
  <c r="AD41" i="54"/>
  <c r="Z51" i="54"/>
  <c r="V51" i="54"/>
  <c r="AD51" i="54"/>
  <c r="AJ51" i="54" s="1"/>
  <c r="AN52" i="54"/>
  <c r="AC28" i="54" s="1"/>
  <c r="AE28" i="54" s="1"/>
  <c r="AK36" i="54"/>
  <c r="AK47" i="54"/>
  <c r="AK52" i="54"/>
  <c r="AL52" i="54" s="1"/>
  <c r="AK38" i="71"/>
  <c r="AK44" i="71"/>
  <c r="AD37" i="69"/>
  <c r="Z22" i="69"/>
  <c r="M41" i="69"/>
  <c r="S41" i="69" s="1"/>
  <c r="AF41" i="69" s="1"/>
  <c r="AP44" i="70"/>
  <c r="AI44" i="70" s="1"/>
  <c r="AQ44" i="70" s="1"/>
  <c r="AD52" i="70"/>
  <c r="AJ52" i="70" s="1"/>
  <c r="Z52" i="70"/>
  <c r="R28" i="70" s="1"/>
  <c r="AB28" i="70" s="1"/>
  <c r="V52" i="70"/>
  <c r="N28" i="70" s="1"/>
  <c r="AA28" i="70" s="1"/>
  <c r="M36" i="71"/>
  <c r="AK36" i="69"/>
  <c r="AK42" i="69"/>
  <c r="M50" i="54"/>
  <c r="AN50" i="54" s="1"/>
  <c r="AC26" i="54" s="1"/>
  <c r="N42" i="54"/>
  <c r="T42" i="54" s="1"/>
  <c r="AG42" i="54" s="1"/>
  <c r="AK44" i="54"/>
  <c r="AA54" i="54"/>
  <c r="O30" i="54"/>
  <c r="AK49" i="71"/>
  <c r="AK41" i="71"/>
  <c r="M49" i="69"/>
  <c r="AD49" i="69"/>
  <c r="V45" i="69"/>
  <c r="N21" i="69" s="1"/>
  <c r="AD45" i="69"/>
  <c r="AD46" i="69"/>
  <c r="AA36" i="70"/>
  <c r="O12" i="70"/>
  <c r="AA38" i="70"/>
  <c r="O14" i="70"/>
  <c r="O20" i="70"/>
  <c r="AA44" i="70"/>
  <c r="AA43" i="70"/>
  <c r="O19" i="70"/>
  <c r="Z12" i="70"/>
  <c r="AK51" i="54"/>
  <c r="AK48" i="71"/>
  <c r="Z48" i="69"/>
  <c r="AD48" i="69"/>
  <c r="AJ48" i="69" s="1"/>
  <c r="V48" i="69"/>
  <c r="AN50" i="69"/>
  <c r="AC26" i="69" s="1"/>
  <c r="N39" i="69"/>
  <c r="T39" i="69" s="1"/>
  <c r="AG39" i="69" s="1"/>
  <c r="AD39" i="69"/>
  <c r="O25" i="70"/>
  <c r="AA49" i="70"/>
  <c r="AK51" i="70"/>
  <c r="Z21" i="70"/>
  <c r="AN41" i="70"/>
  <c r="AC17" i="70" s="1"/>
  <c r="Z30" i="70"/>
  <c r="Z29" i="70"/>
  <c r="AO37" i="71"/>
  <c r="AD13" i="71" s="1"/>
  <c r="AN46" i="71"/>
  <c r="AC22" i="71" s="1"/>
  <c r="AK43" i="69"/>
  <c r="AL43" i="69" s="1"/>
  <c r="O28" i="69"/>
  <c r="AA52" i="69"/>
  <c r="L54" i="54"/>
  <c r="R54" i="54" s="1"/>
  <c r="AE54" i="54" s="1"/>
  <c r="Q54" i="54"/>
  <c r="AK40" i="54"/>
  <c r="AK36" i="71"/>
  <c r="AK46" i="71"/>
  <c r="AK40" i="71"/>
  <c r="AN40" i="69"/>
  <c r="AC16" i="69" s="1"/>
  <c r="N39" i="70"/>
  <c r="T39" i="70" s="1"/>
  <c r="AG39" i="70" s="1"/>
  <c r="AO52" i="71"/>
  <c r="AD28" i="71" s="1"/>
  <c r="AN43" i="71"/>
  <c r="AC19" i="71" s="1"/>
  <c r="AK40" i="69"/>
  <c r="AK49" i="69"/>
  <c r="AK41" i="54"/>
  <c r="AK54" i="54"/>
  <c r="O26" i="54"/>
  <c r="AA50" i="54"/>
  <c r="AD43" i="54"/>
  <c r="AJ43" i="54" s="1"/>
  <c r="U19" i="54" s="1"/>
  <c r="V19" i="54" s="1"/>
  <c r="AN19" i="54" s="1"/>
  <c r="Z43" i="54"/>
  <c r="V43" i="54"/>
  <c r="AD47" i="69"/>
  <c r="AK47" i="70"/>
  <c r="AA42" i="70"/>
  <c r="O18" i="70"/>
  <c r="X42" i="70"/>
  <c r="P18" i="70" s="1"/>
  <c r="AL18" i="70" s="1"/>
  <c r="Q51" i="70"/>
  <c r="AN52" i="70"/>
  <c r="AC28" i="70" s="1"/>
  <c r="Z22" i="70"/>
  <c r="AD51" i="71"/>
  <c r="Z51" i="71"/>
  <c r="AD50" i="71"/>
  <c r="AP41" i="69"/>
  <c r="AI41" i="69" s="1"/>
  <c r="AQ41" i="69" s="1"/>
  <c r="AD39" i="54"/>
  <c r="AK39" i="54"/>
  <c r="AP53" i="70"/>
  <c r="AI53" i="70" s="1"/>
  <c r="AQ53" i="70" s="1"/>
  <c r="O29" i="70"/>
  <c r="AA53" i="70"/>
  <c r="Q36" i="70"/>
  <c r="AD44" i="70"/>
  <c r="Q50" i="70"/>
  <c r="AO50" i="70"/>
  <c r="AD26" i="70" s="1"/>
  <c r="AN50" i="70"/>
  <c r="AC26" i="70" s="1"/>
  <c r="AD49" i="71"/>
  <c r="Z49" i="71"/>
  <c r="AK44" i="69"/>
  <c r="AD50" i="54"/>
  <c r="AN36" i="69"/>
  <c r="AC12" i="69" s="1"/>
  <c r="L52" i="69"/>
  <c r="R52" i="69" s="1"/>
  <c r="AE52" i="69" s="1"/>
  <c r="Q52" i="69"/>
  <c r="AD51" i="69"/>
  <c r="O16" i="70"/>
  <c r="AA40" i="70"/>
  <c r="AK52" i="70"/>
  <c r="Z14" i="70"/>
  <c r="AD41" i="70"/>
  <c r="AJ41" i="70" s="1"/>
  <c r="Z41" i="70"/>
  <c r="V41" i="70"/>
  <c r="N17" i="70" s="1"/>
  <c r="Z25" i="70"/>
  <c r="AD45" i="70"/>
  <c r="Q54" i="70"/>
  <c r="AN54" i="70"/>
  <c r="AC30" i="70" s="1"/>
  <c r="AO54" i="70"/>
  <c r="AD30" i="70" s="1"/>
  <c r="AN37" i="71"/>
  <c r="AC13" i="71" s="1"/>
  <c r="N42" i="71"/>
  <c r="AD42" i="71"/>
  <c r="AO46" i="71"/>
  <c r="AD22" i="71" s="1"/>
  <c r="AD47" i="71"/>
  <c r="AJ47" i="71" s="1"/>
  <c r="U23" i="71" s="1"/>
  <c r="V23" i="71" s="1"/>
  <c r="AN23" i="71" s="1"/>
  <c r="Z47" i="71"/>
  <c r="V47" i="71"/>
  <c r="AK37" i="54"/>
  <c r="AN52" i="71"/>
  <c r="AC28" i="71" s="1"/>
  <c r="AO43" i="71"/>
  <c r="AD19" i="71" s="1"/>
  <c r="AD40" i="54"/>
  <c r="AK37" i="71"/>
  <c r="AK37" i="70"/>
  <c r="AK42" i="54"/>
  <c r="AK43" i="70"/>
  <c r="AO51" i="54"/>
  <c r="AD27" i="54" s="1"/>
  <c r="AD49" i="54"/>
  <c r="AJ49" i="54" s="1"/>
  <c r="Z49" i="54"/>
  <c r="V49" i="54"/>
  <c r="AP54" i="71"/>
  <c r="AI54" i="71" s="1"/>
  <c r="AQ54" i="71" s="1"/>
  <c r="O21" i="70"/>
  <c r="AA45" i="70"/>
  <c r="O17" i="70"/>
  <c r="AA41" i="70"/>
  <c r="Z13" i="70"/>
  <c r="AD43" i="70"/>
  <c r="AJ43" i="70" s="1"/>
  <c r="Q40" i="70"/>
  <c r="AD36" i="71"/>
  <c r="Z18" i="54"/>
  <c r="AD53" i="54"/>
  <c r="AA42" i="54"/>
  <c r="O18" i="54"/>
  <c r="Q39" i="70"/>
  <c r="AD48" i="71"/>
  <c r="AJ48" i="71" s="1"/>
  <c r="U24" i="71" s="1"/>
  <c r="V24" i="71" s="1"/>
  <c r="AN24" i="71" s="1"/>
  <c r="Z48" i="71"/>
  <c r="V48" i="71"/>
  <c r="O21" i="69"/>
  <c r="AA45" i="69"/>
  <c r="N45" i="54"/>
  <c r="T45" i="54" s="1"/>
  <c r="AG45" i="54" s="1"/>
  <c r="AD45" i="54"/>
  <c r="AK52" i="71"/>
  <c r="AK43" i="71"/>
  <c r="AD50" i="69"/>
  <c r="AJ50" i="69" s="1"/>
  <c r="U26" i="69" s="1"/>
  <c r="V26" i="69" s="1"/>
  <c r="AN26" i="69" s="1"/>
  <c r="Z50" i="69"/>
  <c r="V50" i="69"/>
  <c r="O22" i="70"/>
  <c r="AA46" i="70"/>
  <c r="AK49" i="70"/>
  <c r="Q49" i="70"/>
  <c r="N53" i="70"/>
  <c r="T53" i="70" s="1"/>
  <c r="AG53" i="70" s="1"/>
  <c r="AK51" i="69"/>
  <c r="O22" i="69"/>
  <c r="AA46" i="69"/>
  <c r="AA41" i="69"/>
  <c r="O17" i="69"/>
  <c r="AD46" i="54"/>
  <c r="AK53" i="54"/>
  <c r="AK51" i="71"/>
  <c r="AK53" i="71"/>
  <c r="AD40" i="69"/>
  <c r="L51" i="70"/>
  <c r="R51" i="70" s="1"/>
  <c r="AE51" i="70" s="1"/>
  <c r="AD53" i="70"/>
  <c r="Z15" i="70"/>
  <c r="Z43" i="71"/>
  <c r="V43" i="71"/>
  <c r="AD43" i="71"/>
  <c r="AJ43" i="71" s="1"/>
  <c r="AK52" i="69"/>
  <c r="AD44" i="54"/>
  <c r="AK45" i="54"/>
  <c r="AD41" i="71"/>
  <c r="Q45" i="66"/>
  <c r="AD45" i="66" s="1"/>
  <c r="Z24" i="66"/>
  <c r="Q54" i="66"/>
  <c r="AD54" i="66" s="1"/>
  <c r="AA41" i="66"/>
  <c r="O17" i="66"/>
  <c r="AA53" i="66"/>
  <c r="O29" i="66"/>
  <c r="AA48" i="66"/>
  <c r="O24" i="66"/>
  <c r="AA43" i="66"/>
  <c r="O19" i="66"/>
  <c r="AA40" i="66"/>
  <c r="O16" i="66"/>
  <c r="AA51" i="66"/>
  <c r="O27" i="66"/>
  <c r="AA49" i="66"/>
  <c r="O25" i="66"/>
  <c r="AA44" i="66"/>
  <c r="O20" i="66"/>
  <c r="O15" i="66"/>
  <c r="AA39" i="66"/>
  <c r="AA52" i="66"/>
  <c r="O28" i="66"/>
  <c r="O21" i="66"/>
  <c r="AA45" i="66"/>
  <c r="O23" i="66"/>
  <c r="AA47" i="66"/>
  <c r="AA46" i="66"/>
  <c r="O22" i="66"/>
  <c r="AA54" i="66"/>
  <c r="O30" i="66"/>
  <c r="AA50" i="66"/>
  <c r="O26" i="66"/>
  <c r="AA42" i="66"/>
  <c r="O18" i="66"/>
  <c r="M37" i="66"/>
  <c r="AN54" i="66"/>
  <c r="AC30" i="66" s="1"/>
  <c r="AO36" i="66"/>
  <c r="AD12" i="66" s="1"/>
  <c r="AN36" i="66"/>
  <c r="AC12" i="66" s="1"/>
  <c r="AK36" i="66"/>
  <c r="AN38" i="66"/>
  <c r="AC14" i="66" s="1"/>
  <c r="AO38" i="66"/>
  <c r="AD14" i="66" s="1"/>
  <c r="AK38" i="66"/>
  <c r="AK37" i="66"/>
  <c r="AK53" i="66"/>
  <c r="M45" i="66"/>
  <c r="AK52" i="66"/>
  <c r="O102" i="44"/>
  <c r="AO48" i="66"/>
  <c r="AD24" i="66" s="1"/>
  <c r="AE24" i="66" s="1"/>
  <c r="AK46" i="66"/>
  <c r="AK39" i="66"/>
  <c r="AK42" i="66"/>
  <c r="AK44" i="66"/>
  <c r="AK50" i="66"/>
  <c r="AK48" i="66"/>
  <c r="AN52" i="66"/>
  <c r="AC28" i="66" s="1"/>
  <c r="AE28" i="66" s="1"/>
  <c r="O105" i="44"/>
  <c r="AN43" i="66"/>
  <c r="AC19" i="66" s="1"/>
  <c r="AE19" i="66" s="1"/>
  <c r="M39" i="66"/>
  <c r="AK49" i="66"/>
  <c r="N49" i="66"/>
  <c r="M99" i="44"/>
  <c r="N42" i="66"/>
  <c r="K13" i="66"/>
  <c r="AD46" i="66"/>
  <c r="AN41" i="66"/>
  <c r="AC17" i="66" s="1"/>
  <c r="W36" i="66"/>
  <c r="O12" i="66" s="1"/>
  <c r="L12" i="66"/>
  <c r="AO46" i="66"/>
  <c r="AD22" i="66" s="1"/>
  <c r="K104" i="44"/>
  <c r="I100" i="44"/>
  <c r="K14" i="66"/>
  <c r="AD43" i="66"/>
  <c r="M42" i="66"/>
  <c r="N39" i="66"/>
  <c r="AD44" i="66"/>
  <c r="W37" i="66"/>
  <c r="O13" i="66" s="1"/>
  <c r="L13" i="66"/>
  <c r="AD47" i="66"/>
  <c r="AD51" i="66"/>
  <c r="AD40" i="66"/>
  <c r="AK54" i="66"/>
  <c r="AK41" i="66"/>
  <c r="O109" i="44"/>
  <c r="K103" i="44"/>
  <c r="AD48" i="66"/>
  <c r="AD50" i="66"/>
  <c r="K100" i="44"/>
  <c r="AK45" i="66"/>
  <c r="AK47" i="66"/>
  <c r="AK43" i="66"/>
  <c r="AN46" i="66"/>
  <c r="AC22" i="66" s="1"/>
  <c r="AN47" i="66"/>
  <c r="AC23" i="66" s="1"/>
  <c r="AD49" i="66"/>
  <c r="AD52" i="66"/>
  <c r="O103" i="44"/>
  <c r="O106" i="44"/>
  <c r="K12" i="66"/>
  <c r="AD41" i="66"/>
  <c r="M40" i="66"/>
  <c r="AD42" i="66"/>
  <c r="AD53" i="66"/>
  <c r="O108" i="44"/>
  <c r="O98" i="44"/>
  <c r="AD39" i="66"/>
  <c r="W38" i="66"/>
  <c r="O14" i="66" s="1"/>
  <c r="L14" i="66"/>
  <c r="AK51" i="66"/>
  <c r="I108" i="44"/>
  <c r="N44" i="66"/>
  <c r="M51" i="66"/>
  <c r="M50" i="66"/>
  <c r="O107" i="44"/>
  <c r="O100" i="44"/>
  <c r="AO47" i="66"/>
  <c r="AD23" i="66" s="1"/>
  <c r="O97" i="44"/>
  <c r="AO54" i="66"/>
  <c r="AD30" i="66" s="1"/>
  <c r="M49" i="66"/>
  <c r="AK40" i="66"/>
  <c r="AO41" i="66" l="1"/>
  <c r="AD17" i="66" s="1"/>
  <c r="V53" i="54"/>
  <c r="Z43" i="70"/>
  <c r="AJ51" i="71"/>
  <c r="AL51" i="71" s="1"/>
  <c r="V47" i="69"/>
  <c r="AN53" i="71"/>
  <c r="AC29" i="71" s="1"/>
  <c r="AO49" i="54"/>
  <c r="AD25" i="54" s="1"/>
  <c r="Z53" i="71"/>
  <c r="R29" i="71" s="1"/>
  <c r="AB29" i="71" s="1"/>
  <c r="AF29" i="71" s="1"/>
  <c r="AN46" i="69"/>
  <c r="AC22" i="69" s="1"/>
  <c r="AO51" i="71"/>
  <c r="AD27" i="71" s="1"/>
  <c r="AN49" i="70"/>
  <c r="AC25" i="70" s="1"/>
  <c r="AO41" i="69"/>
  <c r="AD17" i="69" s="1"/>
  <c r="AO47" i="69"/>
  <c r="AD23" i="69" s="1"/>
  <c r="Z39" i="71"/>
  <c r="AJ53" i="71"/>
  <c r="AL53" i="71" s="1"/>
  <c r="V47" i="70"/>
  <c r="N23" i="70" s="1"/>
  <c r="AN51" i="71"/>
  <c r="AC27" i="71" s="1"/>
  <c r="Z47" i="69"/>
  <c r="AO49" i="70"/>
  <c r="AD25" i="70" s="1"/>
  <c r="AE25" i="70" s="1"/>
  <c r="V43" i="70"/>
  <c r="N19" i="70" s="1"/>
  <c r="AA19" i="70" s="1"/>
  <c r="V51" i="71"/>
  <c r="AJ47" i="69"/>
  <c r="U23" i="69" s="1"/>
  <c r="V23" i="69" s="1"/>
  <c r="AN23" i="69" s="1"/>
  <c r="Z48" i="70"/>
  <c r="R24" i="70" s="1"/>
  <c r="AB24" i="70" s="1"/>
  <c r="AF24" i="70" s="1"/>
  <c r="AJ39" i="71"/>
  <c r="AO53" i="71"/>
  <c r="AD29" i="71" s="1"/>
  <c r="AL52" i="70"/>
  <c r="U15" i="71"/>
  <c r="V15" i="71" s="1"/>
  <c r="AN15" i="71" s="1"/>
  <c r="AE29" i="69"/>
  <c r="AO52" i="69"/>
  <c r="AD28" i="69" s="1"/>
  <c r="AN44" i="71"/>
  <c r="AC20" i="71" s="1"/>
  <c r="AE20" i="71" s="1"/>
  <c r="AE19" i="69"/>
  <c r="V40" i="54"/>
  <c r="AJ49" i="71"/>
  <c r="V44" i="70"/>
  <c r="N20" i="70" s="1"/>
  <c r="AA20" i="70" s="1"/>
  <c r="V39" i="54"/>
  <c r="N15" i="54" s="1"/>
  <c r="AO36" i="69"/>
  <c r="AD12" i="69" s="1"/>
  <c r="U20" i="71"/>
  <c r="V20" i="71" s="1"/>
  <c r="AN20" i="71" s="1"/>
  <c r="AO45" i="69"/>
  <c r="AD21" i="69" s="1"/>
  <c r="AG21" i="69" s="1"/>
  <c r="AO42" i="54"/>
  <c r="AD18" i="54" s="1"/>
  <c r="X45" i="69"/>
  <c r="P21" i="69" s="1"/>
  <c r="AL21" i="69" s="1"/>
  <c r="AJ40" i="54"/>
  <c r="Z39" i="54"/>
  <c r="R15" i="54" s="1"/>
  <c r="AB15" i="54" s="1"/>
  <c r="AE28" i="70"/>
  <c r="AN40" i="54"/>
  <c r="AC16" i="54" s="1"/>
  <c r="AL46" i="71"/>
  <c r="AE17" i="70"/>
  <c r="V41" i="54"/>
  <c r="N17" i="54" s="1"/>
  <c r="Z36" i="69"/>
  <c r="AN49" i="71"/>
  <c r="AC25" i="71" s="1"/>
  <c r="AN39" i="54"/>
  <c r="AC15" i="54" s="1"/>
  <c r="AO39" i="54"/>
  <c r="AD15" i="54" s="1"/>
  <c r="V53" i="70"/>
  <c r="N29" i="70" s="1"/>
  <c r="AA29" i="70" s="1"/>
  <c r="AL52" i="71"/>
  <c r="X41" i="70"/>
  <c r="P17" i="70" s="1"/>
  <c r="AL17" i="70" s="1"/>
  <c r="Z40" i="54"/>
  <c r="R16" i="54" s="1"/>
  <c r="AB16" i="54" s="1"/>
  <c r="AN42" i="54"/>
  <c r="AC18" i="54" s="1"/>
  <c r="U17" i="70"/>
  <c r="V17" i="70" s="1"/>
  <c r="AN17" i="70" s="1"/>
  <c r="V49" i="71"/>
  <c r="X49" i="71" s="1"/>
  <c r="P25" i="71" s="1"/>
  <c r="AL25" i="71" s="1"/>
  <c r="AN41" i="69"/>
  <c r="AC17" i="69" s="1"/>
  <c r="AJ39" i="54"/>
  <c r="V36" i="69"/>
  <c r="AO54" i="69"/>
  <c r="AD30" i="69" s="1"/>
  <c r="AO40" i="54"/>
  <c r="AD16" i="54" s="1"/>
  <c r="AO49" i="71"/>
  <c r="AD25" i="71" s="1"/>
  <c r="AE25" i="71" s="1"/>
  <c r="AJ53" i="70"/>
  <c r="AL37" i="71"/>
  <c r="V45" i="70"/>
  <c r="AO46" i="54"/>
  <c r="AD22" i="54" s="1"/>
  <c r="Z45" i="69"/>
  <c r="AB45" i="69" s="1"/>
  <c r="S21" i="69" s="1"/>
  <c r="AM21" i="69" s="1"/>
  <c r="AO53" i="54"/>
  <c r="AD29" i="54" s="1"/>
  <c r="AE29" i="54" s="1"/>
  <c r="AJ41" i="54"/>
  <c r="AL41" i="54" s="1"/>
  <c r="AO47" i="70"/>
  <c r="AD23" i="70" s="1"/>
  <c r="V38" i="69"/>
  <c r="S37" i="69"/>
  <c r="AF37" i="69" s="1"/>
  <c r="AJ37" i="69" s="1"/>
  <c r="U13" i="69" s="1"/>
  <c r="V13" i="69" s="1"/>
  <c r="AN13" i="69" s="1"/>
  <c r="AJ47" i="70"/>
  <c r="AL47" i="70" s="1"/>
  <c r="AO50" i="71"/>
  <c r="AD26" i="71" s="1"/>
  <c r="Z53" i="70"/>
  <c r="R29" i="70" s="1"/>
  <c r="AB29" i="70" s="1"/>
  <c r="AN39" i="70"/>
  <c r="AC15" i="70" s="1"/>
  <c r="AJ38" i="69"/>
  <c r="U14" i="69" s="1"/>
  <c r="V14" i="69" s="1"/>
  <c r="AN14" i="69" s="1"/>
  <c r="X47" i="70"/>
  <c r="P23" i="70" s="1"/>
  <c r="AL23" i="70" s="1"/>
  <c r="Z47" i="70"/>
  <c r="AO39" i="70"/>
  <c r="AD15" i="70" s="1"/>
  <c r="AJ50" i="71"/>
  <c r="U26" i="71" s="1"/>
  <c r="V26" i="71" s="1"/>
  <c r="AN26" i="71" s="1"/>
  <c r="U24" i="69"/>
  <c r="V24" i="69" s="1"/>
  <c r="AN24" i="69" s="1"/>
  <c r="AL51" i="54"/>
  <c r="AJ45" i="69"/>
  <c r="U21" i="69" s="1"/>
  <c r="V21" i="69" s="1"/>
  <c r="AN21" i="69" s="1"/>
  <c r="AO41" i="54"/>
  <c r="AD17" i="54" s="1"/>
  <c r="AN47" i="70"/>
  <c r="AC23" i="70" s="1"/>
  <c r="AE23" i="70" s="1"/>
  <c r="AN42" i="69"/>
  <c r="AC18" i="69" s="1"/>
  <c r="AJ38" i="71"/>
  <c r="AL38" i="71" s="1"/>
  <c r="AJ41" i="71"/>
  <c r="U17" i="71" s="1"/>
  <c r="V17" i="71" s="1"/>
  <c r="AN17" i="71" s="1"/>
  <c r="Z44" i="54"/>
  <c r="R20" i="54" s="1"/>
  <c r="AB20" i="54" s="1"/>
  <c r="AF20" i="54" s="1"/>
  <c r="U19" i="71"/>
  <c r="V19" i="71" s="1"/>
  <c r="AN19" i="71" s="1"/>
  <c r="Z40" i="69"/>
  <c r="Z46" i="54"/>
  <c r="AN39" i="69"/>
  <c r="AC15" i="69" s="1"/>
  <c r="AJ53" i="54"/>
  <c r="AL53" i="54" s="1"/>
  <c r="AO44" i="54"/>
  <c r="AD20" i="54" s="1"/>
  <c r="AN46" i="54"/>
  <c r="AC22" i="54" s="1"/>
  <c r="AJ44" i="70"/>
  <c r="AB42" i="70"/>
  <c r="S18" i="70" s="1"/>
  <c r="AM18" i="70" s="1"/>
  <c r="AN44" i="54"/>
  <c r="AC20" i="54" s="1"/>
  <c r="AN45" i="70"/>
  <c r="AC21" i="70" s="1"/>
  <c r="AO44" i="70"/>
  <c r="AD20" i="70" s="1"/>
  <c r="AE20" i="70" s="1"/>
  <c r="AN50" i="71"/>
  <c r="AC26" i="71" s="1"/>
  <c r="S46" i="69"/>
  <c r="AN38" i="71"/>
  <c r="AC14" i="71" s="1"/>
  <c r="Z41" i="71"/>
  <c r="R17" i="71" s="1"/>
  <c r="AB17" i="71" s="1"/>
  <c r="AF17" i="71" s="1"/>
  <c r="V44" i="54"/>
  <c r="N20" i="54" s="1"/>
  <c r="V40" i="69"/>
  <c r="V46" i="54"/>
  <c r="U12" i="69"/>
  <c r="V12" i="69" s="1"/>
  <c r="AN12" i="69" s="1"/>
  <c r="AN40" i="70"/>
  <c r="AC16" i="70" s="1"/>
  <c r="AB41" i="70"/>
  <c r="S17" i="70" s="1"/>
  <c r="AM17" i="70" s="1"/>
  <c r="AJ45" i="70"/>
  <c r="U21" i="70" s="1"/>
  <c r="V21" i="70" s="1"/>
  <c r="AN21" i="70" s="1"/>
  <c r="AN52" i="69"/>
  <c r="AC28" i="69" s="1"/>
  <c r="AO36" i="70"/>
  <c r="AD12" i="70" s="1"/>
  <c r="V50" i="71"/>
  <c r="AO54" i="54"/>
  <c r="AD30" i="54" s="1"/>
  <c r="Z37" i="69"/>
  <c r="AB37" i="69" s="1"/>
  <c r="S13" i="69" s="1"/>
  <c r="AM13" i="69" s="1"/>
  <c r="AO37" i="69"/>
  <c r="AD13" i="69" s="1"/>
  <c r="AB47" i="70"/>
  <c r="S23" i="70" s="1"/>
  <c r="AM23" i="70" s="1"/>
  <c r="V38" i="71"/>
  <c r="N14" i="71" s="1"/>
  <c r="AN44" i="70"/>
  <c r="AC20" i="70" s="1"/>
  <c r="V41" i="71"/>
  <c r="N17" i="71" s="1"/>
  <c r="AA17" i="71" s="1"/>
  <c r="AJ44" i="54"/>
  <c r="U20" i="54" s="1"/>
  <c r="V20" i="54" s="1"/>
  <c r="AN20" i="54" s="1"/>
  <c r="AJ40" i="69"/>
  <c r="U16" i="69" s="1"/>
  <c r="V16" i="69" s="1"/>
  <c r="AN16" i="69" s="1"/>
  <c r="AJ46" i="54"/>
  <c r="U22" i="54" s="1"/>
  <c r="V22" i="54" s="1"/>
  <c r="AN22" i="54" s="1"/>
  <c r="Z53" i="54"/>
  <c r="AO40" i="70"/>
  <c r="AD16" i="70" s="1"/>
  <c r="R19" i="70"/>
  <c r="AB19" i="70" s="1"/>
  <c r="AF19" i="70" s="1"/>
  <c r="U16" i="54"/>
  <c r="V16" i="54" s="1"/>
  <c r="AN16" i="54" s="1"/>
  <c r="Z45" i="70"/>
  <c r="Z44" i="70"/>
  <c r="R20" i="70" s="1"/>
  <c r="AB20" i="70" s="1"/>
  <c r="AN36" i="70"/>
  <c r="AC12" i="70" s="1"/>
  <c r="Z50" i="71"/>
  <c r="U24" i="54"/>
  <c r="V24" i="54" s="1"/>
  <c r="AN24" i="54" s="1"/>
  <c r="AO45" i="70"/>
  <c r="AD21" i="70" s="1"/>
  <c r="AE21" i="70" s="1"/>
  <c r="Z42" i="69"/>
  <c r="AB42" i="69" s="1"/>
  <c r="S18" i="69" s="1"/>
  <c r="AM18" i="69" s="1"/>
  <c r="AO38" i="71"/>
  <c r="AD14" i="71" s="1"/>
  <c r="AK42" i="70"/>
  <c r="U18" i="70" s="1"/>
  <c r="V18" i="70" s="1"/>
  <c r="AN18" i="70" s="1"/>
  <c r="Z38" i="71"/>
  <c r="AB38" i="71" s="1"/>
  <c r="S14" i="71" s="1"/>
  <c r="AM14" i="71" s="1"/>
  <c r="AN53" i="54"/>
  <c r="AC29" i="54" s="1"/>
  <c r="AK54" i="71"/>
  <c r="U25" i="71"/>
  <c r="V25" i="71" s="1"/>
  <c r="AN25" i="71" s="1"/>
  <c r="V48" i="70"/>
  <c r="V42" i="69"/>
  <c r="AN49" i="54"/>
  <c r="AC25" i="54" s="1"/>
  <c r="AN47" i="71"/>
  <c r="AC23" i="71" s="1"/>
  <c r="S51" i="69"/>
  <c r="AN51" i="69"/>
  <c r="AC27" i="69" s="1"/>
  <c r="AO51" i="69"/>
  <c r="AD27" i="69" s="1"/>
  <c r="AB45" i="70"/>
  <c r="S21" i="70" s="1"/>
  <c r="AM21" i="70" s="1"/>
  <c r="AO39" i="69"/>
  <c r="AD15" i="69" s="1"/>
  <c r="AL39" i="54"/>
  <c r="AK41" i="69"/>
  <c r="Z41" i="54"/>
  <c r="AB41" i="54" s="1"/>
  <c r="S17" i="54" s="1"/>
  <c r="AM17" i="54" s="1"/>
  <c r="AL53" i="69"/>
  <c r="V39" i="71"/>
  <c r="AJ42" i="69"/>
  <c r="AO42" i="69"/>
  <c r="AD18" i="69" s="1"/>
  <c r="AE18" i="69" s="1"/>
  <c r="AO40" i="69"/>
  <c r="AD16" i="69" s="1"/>
  <c r="AO45" i="71"/>
  <c r="AD21" i="71" s="1"/>
  <c r="AE21" i="71" s="1"/>
  <c r="AO47" i="71"/>
  <c r="AD23" i="71" s="1"/>
  <c r="AN51" i="54"/>
  <c r="AC27" i="54" s="1"/>
  <c r="AE27" i="54" s="1"/>
  <c r="AL43" i="70"/>
  <c r="AN47" i="69"/>
  <c r="AC23" i="69" s="1"/>
  <c r="N26" i="69"/>
  <c r="AA26" i="69" s="1"/>
  <c r="X50" i="69"/>
  <c r="P26" i="69" s="1"/>
  <c r="AL26" i="69" s="1"/>
  <c r="Z45" i="54"/>
  <c r="AB48" i="71"/>
  <c r="S24" i="71" s="1"/>
  <c r="AM24" i="71" s="1"/>
  <c r="R24" i="71"/>
  <c r="AB24" i="71" s="1"/>
  <c r="AF24" i="71" s="1"/>
  <c r="AD39" i="70"/>
  <c r="AJ39" i="70" s="1"/>
  <c r="V39" i="70"/>
  <c r="Z39" i="70"/>
  <c r="R15" i="70" s="1"/>
  <c r="AB15" i="70" s="1"/>
  <c r="AD40" i="70"/>
  <c r="AJ40" i="70" s="1"/>
  <c r="V40" i="70"/>
  <c r="Z40" i="70"/>
  <c r="R16" i="70" s="1"/>
  <c r="AB16" i="70" s="1"/>
  <c r="X40" i="54"/>
  <c r="P16" i="54" s="1"/>
  <c r="AL16" i="54" s="1"/>
  <c r="N16" i="54"/>
  <c r="AA16" i="54" s="1"/>
  <c r="AE22" i="71"/>
  <c r="T42" i="71"/>
  <c r="AN42" i="71"/>
  <c r="AC18" i="71" s="1"/>
  <c r="AD54" i="70"/>
  <c r="AJ54" i="70" s="1"/>
  <c r="Z54" i="70"/>
  <c r="R30" i="70" s="1"/>
  <c r="AB30" i="70" s="1"/>
  <c r="AF30" i="70" s="1"/>
  <c r="V54" i="70"/>
  <c r="R25" i="71"/>
  <c r="AB25" i="71" s="1"/>
  <c r="AF25" i="71" s="1"/>
  <c r="AB49" i="71"/>
  <c r="S25" i="71" s="1"/>
  <c r="AM25" i="71" s="1"/>
  <c r="Z50" i="70"/>
  <c r="R26" i="70" s="1"/>
  <c r="AB26" i="70" s="1"/>
  <c r="AF26" i="70" s="1"/>
  <c r="AD50" i="70"/>
  <c r="AJ50" i="70" s="1"/>
  <c r="U26" i="70" s="1"/>
  <c r="V26" i="70" s="1"/>
  <c r="AN26" i="70" s="1"/>
  <c r="V50" i="70"/>
  <c r="AE12" i="70"/>
  <c r="AB53" i="70"/>
  <c r="S29" i="70" s="1"/>
  <c r="AM29" i="70" s="1"/>
  <c r="U15" i="54"/>
  <c r="V15" i="54" s="1"/>
  <c r="AN15" i="54" s="1"/>
  <c r="R26" i="71"/>
  <c r="AB26" i="71" s="1"/>
  <c r="AB50" i="71"/>
  <c r="S26" i="71" s="1"/>
  <c r="AM26" i="71" s="1"/>
  <c r="U27" i="71"/>
  <c r="V27" i="71" s="1"/>
  <c r="AN27" i="71" s="1"/>
  <c r="R19" i="54"/>
  <c r="AB19" i="54" s="1"/>
  <c r="AF19" i="54" s="1"/>
  <c r="AB43" i="54"/>
  <c r="S19" i="54" s="1"/>
  <c r="AM19" i="54" s="1"/>
  <c r="AE28" i="71"/>
  <c r="Z54" i="54"/>
  <c r="R30" i="54" s="1"/>
  <c r="AB30" i="54" s="1"/>
  <c r="AD54" i="54"/>
  <c r="AJ54" i="54" s="1"/>
  <c r="U30" i="54" s="1"/>
  <c r="V30" i="54" s="1"/>
  <c r="AN30" i="54" s="1"/>
  <c r="V54" i="54"/>
  <c r="AE22" i="54"/>
  <c r="AE13" i="71"/>
  <c r="AJ39" i="69"/>
  <c r="U15" i="69" s="1"/>
  <c r="V15" i="69" s="1"/>
  <c r="AN15" i="69" s="1"/>
  <c r="AB43" i="70"/>
  <c r="S19" i="70" s="1"/>
  <c r="AM19" i="70" s="1"/>
  <c r="AL41" i="71"/>
  <c r="S50" i="54"/>
  <c r="AO50" i="54"/>
  <c r="AD26" i="54" s="1"/>
  <c r="S36" i="71"/>
  <c r="AN36" i="71"/>
  <c r="AC12" i="71" s="1"/>
  <c r="AO36" i="71"/>
  <c r="AD12" i="71" s="1"/>
  <c r="AK44" i="70"/>
  <c r="AL44" i="71"/>
  <c r="U12" i="54"/>
  <c r="V12" i="54" s="1"/>
  <c r="AN12" i="54" s="1"/>
  <c r="AL36" i="54"/>
  <c r="R27" i="54"/>
  <c r="AB27" i="54" s="1"/>
  <c r="AB51" i="54"/>
  <c r="S27" i="54" s="1"/>
  <c r="AM27" i="54" s="1"/>
  <c r="AD37" i="70"/>
  <c r="R28" i="71"/>
  <c r="AB28" i="71" s="1"/>
  <c r="AF28" i="71" s="1"/>
  <c r="AB52" i="71"/>
  <c r="S28" i="71" s="1"/>
  <c r="AM28" i="71" s="1"/>
  <c r="V42" i="54"/>
  <c r="R24" i="54"/>
  <c r="AB24" i="54" s="1"/>
  <c r="AF24" i="54" s="1"/>
  <c r="AB48" i="54"/>
  <c r="S24" i="54" s="1"/>
  <c r="AM24" i="54" s="1"/>
  <c r="N22" i="71"/>
  <c r="AA22" i="71" s="1"/>
  <c r="X46" i="71"/>
  <c r="P22" i="71" s="1"/>
  <c r="AL22" i="71" s="1"/>
  <c r="AB37" i="71"/>
  <c r="S13" i="71" s="1"/>
  <c r="AM13" i="71" s="1"/>
  <c r="R13" i="71"/>
  <c r="AB13" i="71" s="1"/>
  <c r="AF13" i="71" s="1"/>
  <c r="AE26" i="69"/>
  <c r="AJ41" i="69"/>
  <c r="U17" i="69" s="1"/>
  <c r="V17" i="69" s="1"/>
  <c r="AN17" i="69" s="1"/>
  <c r="R15" i="71"/>
  <c r="AB15" i="71" s="1"/>
  <c r="AF15" i="71" s="1"/>
  <c r="AB39" i="71"/>
  <c r="S15" i="71" s="1"/>
  <c r="AM15" i="71" s="1"/>
  <c r="R18" i="69"/>
  <c r="AB18" i="69" s="1"/>
  <c r="U29" i="71"/>
  <c r="V29" i="71" s="1"/>
  <c r="AN29" i="71" s="1"/>
  <c r="N29" i="69"/>
  <c r="X53" i="69"/>
  <c r="P29" i="69" s="1"/>
  <c r="AL29" i="69" s="1"/>
  <c r="AL50" i="70"/>
  <c r="AK46" i="69"/>
  <c r="AJ45" i="71"/>
  <c r="U21" i="71" s="1"/>
  <c r="V21" i="71" s="1"/>
  <c r="AN21" i="71" s="1"/>
  <c r="AE15" i="71"/>
  <c r="AL47" i="69"/>
  <c r="U14" i="71"/>
  <c r="V14" i="71" s="1"/>
  <c r="AN14" i="71" s="1"/>
  <c r="U19" i="69"/>
  <c r="V19" i="69" s="1"/>
  <c r="AN19" i="69" s="1"/>
  <c r="AE19" i="70"/>
  <c r="AG19" i="70"/>
  <c r="AA23" i="70"/>
  <c r="R16" i="69"/>
  <c r="AB16" i="69" s="1"/>
  <c r="AF16" i="69" s="1"/>
  <c r="AB40" i="69"/>
  <c r="S16" i="69" s="1"/>
  <c r="AM16" i="69" s="1"/>
  <c r="R26" i="69"/>
  <c r="AB26" i="69" s="1"/>
  <c r="AB50" i="69"/>
  <c r="S26" i="69" s="1"/>
  <c r="AM26" i="69" s="1"/>
  <c r="V45" i="54"/>
  <c r="AE17" i="69"/>
  <c r="R29" i="54"/>
  <c r="AB29" i="54" s="1"/>
  <c r="AB53" i="54"/>
  <c r="S29" i="54" s="1"/>
  <c r="AM29" i="54" s="1"/>
  <c r="N25" i="54"/>
  <c r="AA25" i="54" s="1"/>
  <c r="X49" i="54"/>
  <c r="P25" i="54" s="1"/>
  <c r="AL25" i="54" s="1"/>
  <c r="AO53" i="70"/>
  <c r="AD29" i="70" s="1"/>
  <c r="AA17" i="70"/>
  <c r="AD51" i="70"/>
  <c r="AL54" i="54"/>
  <c r="R24" i="69"/>
  <c r="AB24" i="69" s="1"/>
  <c r="AF24" i="69" s="1"/>
  <c r="AB48" i="69"/>
  <c r="S24" i="69" s="1"/>
  <c r="AM24" i="69" s="1"/>
  <c r="AN45" i="54"/>
  <c r="AC21" i="54" s="1"/>
  <c r="X44" i="70"/>
  <c r="P20" i="70" s="1"/>
  <c r="AL20" i="70" s="1"/>
  <c r="AL49" i="71"/>
  <c r="R13" i="69"/>
  <c r="AB13" i="69" s="1"/>
  <c r="AF13" i="69" s="1"/>
  <c r="R37" i="70"/>
  <c r="AE37" i="70" s="1"/>
  <c r="M37" i="70"/>
  <c r="S37" i="70" s="1"/>
  <c r="AF37" i="70" s="1"/>
  <c r="AL45" i="69"/>
  <c r="U28" i="71"/>
  <c r="V28" i="71" s="1"/>
  <c r="AN28" i="71" s="1"/>
  <c r="AE16" i="69"/>
  <c r="AJ42" i="54"/>
  <c r="U18" i="54" s="1"/>
  <c r="V18" i="54" s="1"/>
  <c r="AN18" i="54" s="1"/>
  <c r="R20" i="71"/>
  <c r="AB20" i="71" s="1"/>
  <c r="AB44" i="71"/>
  <c r="S20" i="71" s="1"/>
  <c r="AM20" i="71" s="1"/>
  <c r="R22" i="71"/>
  <c r="AB22" i="71" s="1"/>
  <c r="AF22" i="71" s="1"/>
  <c r="AB46" i="71"/>
  <c r="S22" i="71" s="1"/>
  <c r="AM22" i="71" s="1"/>
  <c r="N13" i="71"/>
  <c r="AA13" i="71" s="1"/>
  <c r="X37" i="71"/>
  <c r="P13" i="71" s="1"/>
  <c r="AL13" i="71" s="1"/>
  <c r="R12" i="69"/>
  <c r="AB12" i="69" s="1"/>
  <c r="AF12" i="69" s="1"/>
  <c r="AB36" i="69"/>
  <c r="S12" i="69" s="1"/>
  <c r="AM12" i="69" s="1"/>
  <c r="AE22" i="69"/>
  <c r="X39" i="71"/>
  <c r="P15" i="71" s="1"/>
  <c r="AL15" i="71" s="1"/>
  <c r="N15" i="71"/>
  <c r="AA15" i="71" s="1"/>
  <c r="AL42" i="69"/>
  <c r="U18" i="69"/>
  <c r="V18" i="69" s="1"/>
  <c r="AN18" i="69" s="1"/>
  <c r="AB53" i="69"/>
  <c r="S29" i="69" s="1"/>
  <c r="AM29" i="69" s="1"/>
  <c r="R29" i="69"/>
  <c r="AB29" i="69" s="1"/>
  <c r="AF29" i="69" s="1"/>
  <c r="R14" i="69"/>
  <c r="AB14" i="69" s="1"/>
  <c r="AF14" i="69" s="1"/>
  <c r="AB38" i="69"/>
  <c r="S14" i="69" s="1"/>
  <c r="AM14" i="69" s="1"/>
  <c r="AK36" i="70"/>
  <c r="AE23" i="69"/>
  <c r="AL39" i="71"/>
  <c r="U28" i="54"/>
  <c r="V28" i="54" s="1"/>
  <c r="AN28" i="54" s="1"/>
  <c r="AE29" i="71"/>
  <c r="AL48" i="70"/>
  <c r="X41" i="71"/>
  <c r="P17" i="71" s="1"/>
  <c r="AL17" i="71" s="1"/>
  <c r="AL45" i="70"/>
  <c r="AO54" i="71"/>
  <c r="AD30" i="71" s="1"/>
  <c r="AE18" i="70"/>
  <c r="AG18" i="70"/>
  <c r="AL42" i="70"/>
  <c r="AE24" i="71"/>
  <c r="AL39" i="69"/>
  <c r="AL50" i="71"/>
  <c r="AL48" i="54"/>
  <c r="R14" i="71"/>
  <c r="AB14" i="71" s="1"/>
  <c r="AF14" i="71" s="1"/>
  <c r="X44" i="54"/>
  <c r="P20" i="54" s="1"/>
  <c r="AL20" i="54" s="1"/>
  <c r="N19" i="71"/>
  <c r="AA19" i="71" s="1"/>
  <c r="X43" i="71"/>
  <c r="P19" i="71" s="1"/>
  <c r="AL19" i="71" s="1"/>
  <c r="N16" i="69"/>
  <c r="AA16" i="69" s="1"/>
  <c r="X40" i="69"/>
  <c r="P16" i="69" s="1"/>
  <c r="AL16" i="69" s="1"/>
  <c r="AB46" i="54"/>
  <c r="S22" i="54" s="1"/>
  <c r="AM22" i="54" s="1"/>
  <c r="R22" i="54"/>
  <c r="AB22" i="54" s="1"/>
  <c r="AF22" i="54" s="1"/>
  <c r="AL43" i="71"/>
  <c r="AJ45" i="54"/>
  <c r="U21" i="54" s="1"/>
  <c r="V21" i="54" s="1"/>
  <c r="AN21" i="54" s="1"/>
  <c r="N29" i="54"/>
  <c r="AA29" i="54" s="1"/>
  <c r="X53" i="54"/>
  <c r="P29" i="54" s="1"/>
  <c r="AL29" i="54" s="1"/>
  <c r="U19" i="70"/>
  <c r="V19" i="70" s="1"/>
  <c r="AN19" i="70" s="1"/>
  <c r="AB49" i="54"/>
  <c r="S25" i="54" s="1"/>
  <c r="AM25" i="54" s="1"/>
  <c r="R25" i="54"/>
  <c r="AB25" i="54" s="1"/>
  <c r="AF25" i="54" s="1"/>
  <c r="M51" i="70"/>
  <c r="S51" i="70" s="1"/>
  <c r="AF51" i="70" s="1"/>
  <c r="N23" i="71"/>
  <c r="X47" i="71"/>
  <c r="P23" i="71" s="1"/>
  <c r="AL23" i="71" s="1"/>
  <c r="AE30" i="70"/>
  <c r="R21" i="70"/>
  <c r="AB21" i="70" s="1"/>
  <c r="R17" i="70"/>
  <c r="AB17" i="70" s="1"/>
  <c r="AF17" i="70" s="1"/>
  <c r="Z52" i="69"/>
  <c r="R28" i="69" s="1"/>
  <c r="AB28" i="69" s="1"/>
  <c r="V52" i="69"/>
  <c r="AD52" i="69"/>
  <c r="AJ52" i="69" s="1"/>
  <c r="U28" i="69" s="1"/>
  <c r="V28" i="69" s="1"/>
  <c r="AN28" i="69" s="1"/>
  <c r="AO45" i="54"/>
  <c r="AD21" i="54" s="1"/>
  <c r="AD36" i="70"/>
  <c r="AJ36" i="70" s="1"/>
  <c r="V36" i="70"/>
  <c r="Z36" i="70"/>
  <c r="R12" i="70" s="1"/>
  <c r="AB12" i="70" s="1"/>
  <c r="AK53" i="70"/>
  <c r="AL53" i="70" s="1"/>
  <c r="N27" i="71"/>
  <c r="X51" i="71"/>
  <c r="P27" i="71" s="1"/>
  <c r="AL27" i="71" s="1"/>
  <c r="N23" i="69"/>
  <c r="AA23" i="69" s="1"/>
  <c r="X47" i="69"/>
  <c r="P23" i="69" s="1"/>
  <c r="AL23" i="69" s="1"/>
  <c r="AN53" i="70"/>
  <c r="AC29" i="70" s="1"/>
  <c r="AF29" i="70" s="1"/>
  <c r="AN54" i="54"/>
  <c r="AC30" i="54" s="1"/>
  <c r="AE30" i="54" s="1"/>
  <c r="Z39" i="69"/>
  <c r="AE12" i="69"/>
  <c r="X43" i="70"/>
  <c r="P19" i="70" s="1"/>
  <c r="AL19" i="70" s="1"/>
  <c r="AA21" i="69"/>
  <c r="AL36" i="69"/>
  <c r="AF28" i="70"/>
  <c r="U27" i="54"/>
  <c r="V27" i="54" s="1"/>
  <c r="AN27" i="54" s="1"/>
  <c r="R18" i="70"/>
  <c r="AB18" i="70" s="1"/>
  <c r="AF18" i="70" s="1"/>
  <c r="AL41" i="70"/>
  <c r="AK50" i="54"/>
  <c r="Z42" i="54"/>
  <c r="R18" i="54" s="1"/>
  <c r="AB18" i="54" s="1"/>
  <c r="N20" i="71"/>
  <c r="X44" i="71"/>
  <c r="P20" i="71" s="1"/>
  <c r="AL20" i="71" s="1"/>
  <c r="U22" i="71"/>
  <c r="V22" i="71" s="1"/>
  <c r="AN22" i="71" s="1"/>
  <c r="AG17" i="70"/>
  <c r="AF26" i="69"/>
  <c r="N12" i="69"/>
  <c r="AA12" i="69" s="1"/>
  <c r="X36" i="69"/>
  <c r="P12" i="69" s="1"/>
  <c r="AL12" i="69" s="1"/>
  <c r="V41" i="69"/>
  <c r="AE25" i="54"/>
  <c r="AG25" i="54"/>
  <c r="AN41" i="54"/>
  <c r="AC17" i="54" s="1"/>
  <c r="AL48" i="69"/>
  <c r="N29" i="71"/>
  <c r="AA29" i="71" s="1"/>
  <c r="X53" i="71"/>
  <c r="P29" i="71" s="1"/>
  <c r="AL29" i="71" s="1"/>
  <c r="M38" i="70"/>
  <c r="S38" i="70" s="1"/>
  <c r="AF38" i="70" s="1"/>
  <c r="AD38" i="70"/>
  <c r="AB39" i="70"/>
  <c r="S15" i="70" s="1"/>
  <c r="AM15" i="70" s="1"/>
  <c r="AK38" i="70"/>
  <c r="N14" i="69"/>
  <c r="AA14" i="69" s="1"/>
  <c r="X38" i="69"/>
  <c r="P14" i="69" s="1"/>
  <c r="AL14" i="69" s="1"/>
  <c r="AL43" i="54"/>
  <c r="X52" i="70"/>
  <c r="P28" i="70" s="1"/>
  <c r="AL28" i="70" s="1"/>
  <c r="AE13" i="69"/>
  <c r="N28" i="54"/>
  <c r="X52" i="54"/>
  <c r="P28" i="54" s="1"/>
  <c r="AL28" i="54" s="1"/>
  <c r="V45" i="71"/>
  <c r="AD46" i="70"/>
  <c r="AB41" i="71"/>
  <c r="S17" i="71" s="1"/>
  <c r="AM17" i="71" s="1"/>
  <c r="AG28" i="70"/>
  <c r="AE17" i="71"/>
  <c r="AG17" i="71"/>
  <c r="AN54" i="71"/>
  <c r="AC30" i="71" s="1"/>
  <c r="R19" i="69"/>
  <c r="AB19" i="69" s="1"/>
  <c r="AF19" i="69" s="1"/>
  <c r="AB43" i="69"/>
  <c r="S19" i="69" s="1"/>
  <c r="AM19" i="69" s="1"/>
  <c r="AN54" i="69"/>
  <c r="AC30" i="69" s="1"/>
  <c r="R23" i="70"/>
  <c r="AB23" i="70" s="1"/>
  <c r="AF23" i="70" s="1"/>
  <c r="R19" i="71"/>
  <c r="AB19" i="71" s="1"/>
  <c r="AF19" i="71" s="1"/>
  <c r="AB43" i="71"/>
  <c r="S19" i="71" s="1"/>
  <c r="AM19" i="71" s="1"/>
  <c r="N22" i="54"/>
  <c r="AA22" i="54" s="1"/>
  <c r="X46" i="54"/>
  <c r="P22" i="54" s="1"/>
  <c r="AL22" i="54" s="1"/>
  <c r="AD49" i="70"/>
  <c r="AJ49" i="70" s="1"/>
  <c r="U25" i="70" s="1"/>
  <c r="V25" i="70" s="1"/>
  <c r="AN25" i="70" s="1"/>
  <c r="Z49" i="70"/>
  <c r="R25" i="70" s="1"/>
  <c r="AB25" i="70" s="1"/>
  <c r="V49" i="70"/>
  <c r="N24" i="71"/>
  <c r="AA24" i="71" s="1"/>
  <c r="X48" i="71"/>
  <c r="P24" i="71" s="1"/>
  <c r="AL24" i="71" s="1"/>
  <c r="AL49" i="54"/>
  <c r="U25" i="54"/>
  <c r="V25" i="54" s="1"/>
  <c r="AN25" i="54" s="1"/>
  <c r="AE20" i="54"/>
  <c r="AE19" i="71"/>
  <c r="AG19" i="71"/>
  <c r="AL37" i="54"/>
  <c r="U13" i="54"/>
  <c r="V13" i="54" s="1"/>
  <c r="AN13" i="54" s="1"/>
  <c r="AB47" i="71"/>
  <c r="S23" i="71" s="1"/>
  <c r="AM23" i="71" s="1"/>
  <c r="R23" i="71"/>
  <c r="AB23" i="71" s="1"/>
  <c r="AB40" i="70"/>
  <c r="S16" i="70" s="1"/>
  <c r="AM16" i="70" s="1"/>
  <c r="AE28" i="69"/>
  <c r="AE26" i="70"/>
  <c r="X53" i="70"/>
  <c r="P29" i="70" s="1"/>
  <c r="AL29" i="70" s="1"/>
  <c r="X50" i="71"/>
  <c r="P26" i="71" s="1"/>
  <c r="AL26" i="71" s="1"/>
  <c r="N26" i="71"/>
  <c r="AA26" i="71" s="1"/>
  <c r="R27" i="71"/>
  <c r="AB27" i="71" s="1"/>
  <c r="AF27" i="71" s="1"/>
  <c r="AB51" i="71"/>
  <c r="S27" i="71" s="1"/>
  <c r="AM27" i="71" s="1"/>
  <c r="R23" i="69"/>
  <c r="AB23" i="69" s="1"/>
  <c r="AF23" i="69" s="1"/>
  <c r="AB47" i="69"/>
  <c r="S23" i="69" s="1"/>
  <c r="AM23" i="69" s="1"/>
  <c r="N19" i="54"/>
  <c r="X43" i="54"/>
  <c r="P19" i="54" s="1"/>
  <c r="AL19" i="54" s="1"/>
  <c r="AL40" i="54"/>
  <c r="AO42" i="71"/>
  <c r="AD18" i="71" s="1"/>
  <c r="V39" i="69"/>
  <c r="N24" i="69"/>
  <c r="X48" i="69"/>
  <c r="P24" i="69" s="1"/>
  <c r="AL24" i="69" s="1"/>
  <c r="AL48" i="71"/>
  <c r="R21" i="69"/>
  <c r="AB21" i="69" s="1"/>
  <c r="S49" i="69"/>
  <c r="AN49" i="69"/>
  <c r="AC25" i="69" s="1"/>
  <c r="AO49" i="69"/>
  <c r="AD25" i="69" s="1"/>
  <c r="U28" i="70"/>
  <c r="V28" i="70" s="1"/>
  <c r="AN28" i="70" s="1"/>
  <c r="AL47" i="54"/>
  <c r="U23" i="54"/>
  <c r="V23" i="54" s="1"/>
  <c r="AN23" i="54" s="1"/>
  <c r="N27" i="54"/>
  <c r="AA27" i="54" s="1"/>
  <c r="X51" i="54"/>
  <c r="P27" i="54" s="1"/>
  <c r="AL27" i="54" s="1"/>
  <c r="AA18" i="70"/>
  <c r="AO37" i="70"/>
  <c r="AD13" i="70" s="1"/>
  <c r="AL47" i="71"/>
  <c r="N28" i="71"/>
  <c r="AA28" i="71" s="1"/>
  <c r="X52" i="71"/>
  <c r="P28" i="71" s="1"/>
  <c r="AL28" i="71" s="1"/>
  <c r="N24" i="54"/>
  <c r="X48" i="54"/>
  <c r="P24" i="54" s="1"/>
  <c r="AL24" i="54" s="1"/>
  <c r="U13" i="71"/>
  <c r="V13" i="71" s="1"/>
  <c r="AN13" i="71" s="1"/>
  <c r="Z41" i="69"/>
  <c r="R17" i="69" s="1"/>
  <c r="AB17" i="69" s="1"/>
  <c r="AF17" i="69" s="1"/>
  <c r="X42" i="69"/>
  <c r="P18" i="69" s="1"/>
  <c r="AL18" i="69" s="1"/>
  <c r="N18" i="69"/>
  <c r="AA18" i="69" s="1"/>
  <c r="AE17" i="54"/>
  <c r="S40" i="71"/>
  <c r="AO40" i="71"/>
  <c r="AD16" i="71" s="1"/>
  <c r="AB53" i="71"/>
  <c r="S29" i="71" s="1"/>
  <c r="AM29" i="71" s="1"/>
  <c r="T44" i="69"/>
  <c r="AO44" i="69"/>
  <c r="AD20" i="69" s="1"/>
  <c r="AN44" i="69"/>
  <c r="AC20" i="69" s="1"/>
  <c r="AL50" i="69"/>
  <c r="AB52" i="70"/>
  <c r="S28" i="70" s="1"/>
  <c r="AM28" i="70" s="1"/>
  <c r="AE21" i="69"/>
  <c r="R28" i="54"/>
  <c r="AB28" i="54" s="1"/>
  <c r="AF28" i="54" s="1"/>
  <c r="AB52" i="54"/>
  <c r="S28" i="54" s="1"/>
  <c r="AM28" i="54" s="1"/>
  <c r="Z45" i="71"/>
  <c r="AD54" i="71"/>
  <c r="AJ54" i="71" s="1"/>
  <c r="U30" i="71" s="1"/>
  <c r="V30" i="71" s="1"/>
  <c r="AN30" i="71" s="1"/>
  <c r="Z54" i="71"/>
  <c r="R30" i="71" s="1"/>
  <c r="AB30" i="71" s="1"/>
  <c r="V54" i="71"/>
  <c r="AE24" i="70"/>
  <c r="N19" i="69"/>
  <c r="X43" i="69"/>
  <c r="P19" i="69" s="1"/>
  <c r="AL19" i="69" s="1"/>
  <c r="Z54" i="69"/>
  <c r="R30" i="69" s="1"/>
  <c r="AB30" i="69" s="1"/>
  <c r="V54" i="69"/>
  <c r="AD54" i="69"/>
  <c r="AJ54" i="69" s="1"/>
  <c r="U30" i="69" s="1"/>
  <c r="V30" i="69" s="1"/>
  <c r="AN30" i="69" s="1"/>
  <c r="AL46" i="54"/>
  <c r="AL38" i="69"/>
  <c r="AE14" i="71"/>
  <c r="AE14" i="69"/>
  <c r="M46" i="70"/>
  <c r="Z12" i="66"/>
  <c r="Z14" i="66"/>
  <c r="AE14" i="66"/>
  <c r="AE12" i="66"/>
  <c r="Z13" i="66"/>
  <c r="AN37" i="66"/>
  <c r="AC13" i="66" s="1"/>
  <c r="AO37" i="66"/>
  <c r="AD13" i="66" s="1"/>
  <c r="AN53" i="66"/>
  <c r="AC29" i="66" s="1"/>
  <c r="AN45" i="66"/>
  <c r="AC21" i="66" s="1"/>
  <c r="AO45" i="66"/>
  <c r="AD21" i="66" s="1"/>
  <c r="AE17" i="66"/>
  <c r="AO42" i="66"/>
  <c r="AD18" i="66" s="1"/>
  <c r="AN51" i="66"/>
  <c r="AC27" i="66" s="1"/>
  <c r="AN40" i="66"/>
  <c r="AC16" i="66" s="1"/>
  <c r="AN42" i="66"/>
  <c r="AC18" i="66" s="1"/>
  <c r="AO39" i="66"/>
  <c r="AD15" i="66" s="1"/>
  <c r="AA36" i="66"/>
  <c r="AA38" i="66"/>
  <c r="AA37" i="66"/>
  <c r="AE22" i="66"/>
  <c r="M12" i="66"/>
  <c r="AK12" i="66" s="1"/>
  <c r="AO49" i="66"/>
  <c r="AD25" i="66" s="1"/>
  <c r="AN49" i="66"/>
  <c r="AC25" i="66" s="1"/>
  <c r="AE23" i="66"/>
  <c r="M14" i="66"/>
  <c r="AK14" i="66" s="1"/>
  <c r="AN50" i="66"/>
  <c r="AC26" i="66" s="1"/>
  <c r="AO50" i="66"/>
  <c r="AD26" i="66" s="1"/>
  <c r="AO44" i="66"/>
  <c r="AD20" i="66" s="1"/>
  <c r="AO40" i="66"/>
  <c r="AD16" i="66" s="1"/>
  <c r="AO51" i="66"/>
  <c r="AD27" i="66" s="1"/>
  <c r="AE30" i="66"/>
  <c r="AN39" i="66"/>
  <c r="AC15" i="66" s="1"/>
  <c r="AO53" i="66"/>
  <c r="AD29" i="66" s="1"/>
  <c r="M13" i="66"/>
  <c r="AK13" i="66" s="1"/>
  <c r="AN44" i="66"/>
  <c r="AC20" i="66" s="1"/>
  <c r="AG14" i="69" l="1"/>
  <c r="AF30" i="69"/>
  <c r="AN51" i="70"/>
  <c r="AC27" i="70" s="1"/>
  <c r="AE30" i="69"/>
  <c r="AF18" i="69"/>
  <c r="AB50" i="70"/>
  <c r="S26" i="70" s="1"/>
  <c r="AM26" i="70" s="1"/>
  <c r="AN37" i="70"/>
  <c r="AC13" i="70" s="1"/>
  <c r="AG29" i="54"/>
  <c r="AB44" i="70"/>
  <c r="S20" i="70" s="1"/>
  <c r="AM20" i="70" s="1"/>
  <c r="AB48" i="70"/>
  <c r="S24" i="70" s="1"/>
  <c r="AM24" i="70" s="1"/>
  <c r="AF27" i="54"/>
  <c r="AL44" i="70"/>
  <c r="AG20" i="70"/>
  <c r="V37" i="69"/>
  <c r="AF21" i="69"/>
  <c r="AF23" i="71"/>
  <c r="AF29" i="54"/>
  <c r="AF28" i="69"/>
  <c r="AG23" i="70"/>
  <c r="AL44" i="54"/>
  <c r="AB44" i="54"/>
  <c r="S20" i="54" s="1"/>
  <c r="AM20" i="54" s="1"/>
  <c r="AE27" i="71"/>
  <c r="AB54" i="71"/>
  <c r="S30" i="71" s="1"/>
  <c r="AM30" i="71" s="1"/>
  <c r="AB39" i="54"/>
  <c r="S15" i="54" s="1"/>
  <c r="AM15" i="54" s="1"/>
  <c r="N25" i="71"/>
  <c r="AF25" i="70"/>
  <c r="R17" i="54"/>
  <c r="AB17" i="54" s="1"/>
  <c r="AF20" i="71"/>
  <c r="AE15" i="69"/>
  <c r="AE26" i="71"/>
  <c r="AE15" i="70"/>
  <c r="AE16" i="70"/>
  <c r="AF16" i="54"/>
  <c r="AE15" i="54"/>
  <c r="AE18" i="54"/>
  <c r="AA20" i="54"/>
  <c r="AG20" i="54"/>
  <c r="AA14" i="71"/>
  <c r="AG14" i="71"/>
  <c r="AF30" i="71"/>
  <c r="U17" i="54"/>
  <c r="V17" i="54" s="1"/>
  <c r="AN17" i="54" s="1"/>
  <c r="U20" i="70"/>
  <c r="V20" i="70" s="1"/>
  <c r="AN20" i="70" s="1"/>
  <c r="AL40" i="69"/>
  <c r="AF12" i="70"/>
  <c r="AF21" i="70"/>
  <c r="X41" i="54"/>
  <c r="P17" i="54" s="1"/>
  <c r="AL17" i="54" s="1"/>
  <c r="AL41" i="69"/>
  <c r="X38" i="71"/>
  <c r="P14" i="71" s="1"/>
  <c r="AL14" i="71" s="1"/>
  <c r="AF26" i="71"/>
  <c r="U29" i="54"/>
  <c r="V29" i="54" s="1"/>
  <c r="AN29" i="54" s="1"/>
  <c r="AF20" i="70"/>
  <c r="X39" i="54"/>
  <c r="P15" i="54" s="1"/>
  <c r="AL15" i="54" s="1"/>
  <c r="AB40" i="54"/>
  <c r="S16" i="54" s="1"/>
  <c r="AM16" i="54" s="1"/>
  <c r="U23" i="70"/>
  <c r="V23" i="70" s="1"/>
  <c r="AN23" i="70" s="1"/>
  <c r="AL37" i="69"/>
  <c r="AB54" i="70"/>
  <c r="S30" i="70" s="1"/>
  <c r="AM30" i="70" s="1"/>
  <c r="AF15" i="70"/>
  <c r="AF15" i="54"/>
  <c r="AF18" i="54"/>
  <c r="AF16" i="70"/>
  <c r="AE16" i="54"/>
  <c r="N21" i="70"/>
  <c r="X45" i="70"/>
  <c r="P21" i="70" s="1"/>
  <c r="AL21" i="70" s="1"/>
  <c r="AJ38" i="70"/>
  <c r="U14" i="70" s="1"/>
  <c r="V14" i="70" s="1"/>
  <c r="AN14" i="70" s="1"/>
  <c r="AB54" i="54"/>
  <c r="S30" i="54" s="1"/>
  <c r="AM30" i="54" s="1"/>
  <c r="AF46" i="69"/>
  <c r="AJ46" i="69" s="1"/>
  <c r="AL46" i="69" s="1"/>
  <c r="Z46" i="69"/>
  <c r="V46" i="69"/>
  <c r="AB52" i="69"/>
  <c r="S28" i="69" s="1"/>
  <c r="AM28" i="69" s="1"/>
  <c r="AG16" i="54"/>
  <c r="AF51" i="69"/>
  <c r="AJ51" i="69" s="1"/>
  <c r="Z51" i="69"/>
  <c r="V51" i="69"/>
  <c r="N24" i="70"/>
  <c r="X48" i="70"/>
  <c r="P24" i="70" s="1"/>
  <c r="AL24" i="70" s="1"/>
  <c r="AL45" i="71"/>
  <c r="AG26" i="69"/>
  <c r="AE23" i="71"/>
  <c r="AE27" i="69"/>
  <c r="AO46" i="70"/>
  <c r="AD22" i="70" s="1"/>
  <c r="S46" i="70"/>
  <c r="AN46" i="70"/>
  <c r="AC22" i="70" s="1"/>
  <c r="N30" i="69"/>
  <c r="AA30" i="69" s="1"/>
  <c r="X54" i="69"/>
  <c r="P30" i="69" s="1"/>
  <c r="AL30" i="69" s="1"/>
  <c r="AB45" i="71"/>
  <c r="S21" i="71" s="1"/>
  <c r="AM21" i="71" s="1"/>
  <c r="R21" i="71"/>
  <c r="AB21" i="71" s="1"/>
  <c r="AF21" i="71" s="1"/>
  <c r="AE20" i="69"/>
  <c r="AE16" i="71"/>
  <c r="AA24" i="69"/>
  <c r="AG24" i="69"/>
  <c r="AA25" i="71"/>
  <c r="AG25" i="71"/>
  <c r="AL54" i="71"/>
  <c r="N25" i="70"/>
  <c r="X49" i="70"/>
  <c r="P25" i="70" s="1"/>
  <c r="AL25" i="70" s="1"/>
  <c r="N21" i="71"/>
  <c r="X45" i="71"/>
  <c r="P21" i="71" s="1"/>
  <c r="AL21" i="71" s="1"/>
  <c r="Z38" i="70"/>
  <c r="AF17" i="54"/>
  <c r="AG12" i="69"/>
  <c r="AA27" i="71"/>
  <c r="AG27" i="71"/>
  <c r="AE21" i="54"/>
  <c r="U29" i="70"/>
  <c r="V29" i="70" s="1"/>
  <c r="AN29" i="70" s="1"/>
  <c r="AG24" i="71"/>
  <c r="AE30" i="71"/>
  <c r="AO38" i="70"/>
  <c r="AD14" i="70" s="1"/>
  <c r="AB36" i="70"/>
  <c r="S12" i="70" s="1"/>
  <c r="AM12" i="70" s="1"/>
  <c r="Z37" i="70"/>
  <c r="AE12" i="71"/>
  <c r="AF50" i="54"/>
  <c r="AJ50" i="54" s="1"/>
  <c r="U26" i="54" s="1"/>
  <c r="V26" i="54" s="1"/>
  <c r="AN26" i="54" s="1"/>
  <c r="Z50" i="54"/>
  <c r="V50" i="54"/>
  <c r="AB49" i="70"/>
  <c r="S25" i="70" s="1"/>
  <c r="AM25" i="70" s="1"/>
  <c r="AL40" i="70"/>
  <c r="U16" i="70"/>
  <c r="V16" i="70" s="1"/>
  <c r="AN16" i="70" s="1"/>
  <c r="U15" i="70"/>
  <c r="V15" i="70" s="1"/>
  <c r="AN15" i="70" s="1"/>
  <c r="AL39" i="70"/>
  <c r="AL45" i="54"/>
  <c r="AG44" i="69"/>
  <c r="AJ44" i="69" s="1"/>
  <c r="Z44" i="69"/>
  <c r="V44" i="69"/>
  <c r="AF40" i="71"/>
  <c r="AJ40" i="71" s="1"/>
  <c r="V40" i="71"/>
  <c r="Z40" i="71"/>
  <c r="AA24" i="54"/>
  <c r="AG24" i="54"/>
  <c r="AE13" i="70"/>
  <c r="AE25" i="69"/>
  <c r="N15" i="69"/>
  <c r="X39" i="69"/>
  <c r="P15" i="69" s="1"/>
  <c r="AL15" i="69" s="1"/>
  <c r="AG18" i="69"/>
  <c r="AL38" i="70"/>
  <c r="N12" i="70"/>
  <c r="X36" i="70"/>
  <c r="P12" i="70" s="1"/>
  <c r="AL12" i="70" s="1"/>
  <c r="AG29" i="71"/>
  <c r="AG26" i="71"/>
  <c r="Z51" i="70"/>
  <c r="AG15" i="71"/>
  <c r="AN38" i="70"/>
  <c r="AC14" i="70" s="1"/>
  <c r="V37" i="70"/>
  <c r="AG23" i="69"/>
  <c r="AG13" i="71"/>
  <c r="N30" i="54"/>
  <c r="AA30" i="54" s="1"/>
  <c r="X54" i="54"/>
  <c r="P30" i="54" s="1"/>
  <c r="AL30" i="54" s="1"/>
  <c r="AG28" i="71"/>
  <c r="U30" i="70"/>
  <c r="V30" i="70" s="1"/>
  <c r="AN30" i="70" s="1"/>
  <c r="AL54" i="70"/>
  <c r="AL42" i="54"/>
  <c r="AB42" i="54"/>
  <c r="S18" i="54" s="1"/>
  <c r="AM18" i="54" s="1"/>
  <c r="AL54" i="69"/>
  <c r="AE18" i="71"/>
  <c r="AA19" i="54"/>
  <c r="AG19" i="54"/>
  <c r="AA28" i="54"/>
  <c r="AG28" i="54"/>
  <c r="N17" i="69"/>
  <c r="X41" i="69"/>
  <c r="P17" i="69" s="1"/>
  <c r="AL17" i="69" s="1"/>
  <c r="AA20" i="71"/>
  <c r="AG20" i="71"/>
  <c r="R15" i="69"/>
  <c r="AB15" i="69" s="1"/>
  <c r="AF15" i="69" s="1"/>
  <c r="AB39" i="69"/>
  <c r="S15" i="69" s="1"/>
  <c r="AM15" i="69" s="1"/>
  <c r="AA15" i="54"/>
  <c r="AG15" i="54"/>
  <c r="AL36" i="70"/>
  <c r="U12" i="70"/>
  <c r="V12" i="70" s="1"/>
  <c r="AN12" i="70" s="1"/>
  <c r="N28" i="69"/>
  <c r="X52" i="69"/>
  <c r="P28" i="69" s="1"/>
  <c r="AL28" i="69" s="1"/>
  <c r="V51" i="70"/>
  <c r="AE29" i="70"/>
  <c r="AG29" i="70"/>
  <c r="X45" i="54"/>
  <c r="P21" i="54" s="1"/>
  <c r="AL21" i="54" s="1"/>
  <c r="N21" i="54"/>
  <c r="AA21" i="54" s="1"/>
  <c r="N18" i="54"/>
  <c r="X42" i="54"/>
  <c r="P18" i="54" s="1"/>
  <c r="AL18" i="54" s="1"/>
  <c r="AJ37" i="70"/>
  <c r="AF36" i="71"/>
  <c r="AJ36" i="71" s="1"/>
  <c r="V36" i="71"/>
  <c r="Z36" i="71"/>
  <c r="AO51" i="70"/>
  <c r="AD27" i="70" s="1"/>
  <c r="AG22" i="71"/>
  <c r="AL49" i="70"/>
  <c r="AA19" i="69"/>
  <c r="AG19" i="69"/>
  <c r="N30" i="71"/>
  <c r="AA30" i="71" s="1"/>
  <c r="X54" i="71"/>
  <c r="P30" i="71" s="1"/>
  <c r="AL30" i="71" s="1"/>
  <c r="AF49" i="69"/>
  <c r="AJ49" i="69" s="1"/>
  <c r="V49" i="69"/>
  <c r="Z49" i="69"/>
  <c r="AB41" i="69"/>
  <c r="S17" i="69" s="1"/>
  <c r="AM17" i="69" s="1"/>
  <c r="AB54" i="69"/>
  <c r="S30" i="69" s="1"/>
  <c r="AM30" i="69" s="1"/>
  <c r="V38" i="70"/>
  <c r="AA23" i="71"/>
  <c r="AG23" i="71"/>
  <c r="AG27" i="54"/>
  <c r="AG17" i="54"/>
  <c r="AA17" i="54"/>
  <c r="AJ51" i="70"/>
  <c r="AA29" i="69"/>
  <c r="AG29" i="69"/>
  <c r="AG16" i="69"/>
  <c r="AE26" i="54"/>
  <c r="AG22" i="54"/>
  <c r="AF30" i="54"/>
  <c r="N26" i="70"/>
  <c r="X50" i="70"/>
  <c r="P26" i="70" s="1"/>
  <c r="AL26" i="70" s="1"/>
  <c r="N30" i="70"/>
  <c r="X54" i="70"/>
  <c r="P30" i="70" s="1"/>
  <c r="AL30" i="70" s="1"/>
  <c r="AG42" i="71"/>
  <c r="AJ42" i="71" s="1"/>
  <c r="V42" i="71"/>
  <c r="Z42" i="71"/>
  <c r="N16" i="70"/>
  <c r="X40" i="70"/>
  <c r="P16" i="70" s="1"/>
  <c r="AL16" i="70" s="1"/>
  <c r="N15" i="70"/>
  <c r="X39" i="70"/>
  <c r="P15" i="70" s="1"/>
  <c r="AL15" i="70" s="1"/>
  <c r="R21" i="54"/>
  <c r="AB21" i="54" s="1"/>
  <c r="AF21" i="54" s="1"/>
  <c r="AB45" i="54"/>
  <c r="S21" i="54" s="1"/>
  <c r="AM21" i="54" s="1"/>
  <c r="AL52" i="69"/>
  <c r="AE21" i="66"/>
  <c r="AE15" i="66"/>
  <c r="AE13" i="66"/>
  <c r="AE18" i="66"/>
  <c r="AE25" i="66"/>
  <c r="AE29" i="66"/>
  <c r="AE27" i="66"/>
  <c r="AE20" i="66"/>
  <c r="AE16" i="66"/>
  <c r="AE26" i="66"/>
  <c r="G11" i="30"/>
  <c r="G12" i="30" s="1"/>
  <c r="G13" i="30" s="1"/>
  <c r="G14" i="30" s="1"/>
  <c r="G15" i="30" s="1"/>
  <c r="G16" i="30" s="1"/>
  <c r="G17" i="30"/>
  <c r="G18" i="30" s="1"/>
  <c r="G19" i="30" s="1"/>
  <c r="G20" i="30" s="1"/>
  <c r="G21" i="30" s="1"/>
  <c r="G22" i="30" s="1"/>
  <c r="G23" i="30" s="1"/>
  <c r="G24" i="30" s="1"/>
  <c r="G25" i="30" s="1"/>
  <c r="G26" i="30" s="1"/>
  <c r="G27" i="30" s="1"/>
  <c r="G28" i="30"/>
  <c r="G29" i="30" s="1"/>
  <c r="G30" i="30" s="1"/>
  <c r="G31" i="30" s="1"/>
  <c r="G32" i="30" s="1"/>
  <c r="G33" i="30" s="1"/>
  <c r="G34" i="30" s="1"/>
  <c r="G35" i="30" s="1"/>
  <c r="G36" i="30" s="1"/>
  <c r="G37" i="30" s="1"/>
  <c r="G38" i="30"/>
  <c r="G39" i="30" s="1"/>
  <c r="G40" i="30" s="1"/>
  <c r="G41" i="30" s="1"/>
  <c r="G42" i="30" s="1"/>
  <c r="G43" i="30" s="1"/>
  <c r="G44" i="30" s="1"/>
  <c r="G45" i="30" s="1"/>
  <c r="G46" i="30" s="1"/>
  <c r="G47" i="30" s="1"/>
  <c r="G48" i="30"/>
  <c r="G56" i="30"/>
  <c r="G65" i="30"/>
  <c r="G66" i="30"/>
  <c r="G67" i="30"/>
  <c r="G68" i="30" s="1"/>
  <c r="G69" i="30" s="1"/>
  <c r="G70" i="30"/>
  <c r="G71" i="30"/>
  <c r="G72" i="30" s="1"/>
  <c r="G73" i="30" s="1"/>
  <c r="G74" i="30" s="1"/>
  <c r="G75" i="30" s="1"/>
  <c r="G76" i="30" s="1"/>
  <c r="G77" i="30" s="1"/>
  <c r="G78" i="30" s="1"/>
  <c r="G79" i="30" s="1"/>
  <c r="G80" i="30" s="1"/>
  <c r="G81" i="30" s="1"/>
  <c r="G82" i="30"/>
  <c r="G83" i="30"/>
  <c r="G84" i="30" s="1"/>
  <c r="G85" i="30" s="1"/>
  <c r="G86" i="30" s="1"/>
  <c r="G87" i="30" s="1"/>
  <c r="G88" i="30" s="1"/>
  <c r="G89" i="30" s="1"/>
  <c r="G90" i="30" s="1"/>
  <c r="G91" i="30" s="1"/>
  <c r="G92" i="30" s="1"/>
  <c r="G93" i="30"/>
  <c r="G94" i="30" s="1"/>
  <c r="G95" i="30" s="1"/>
  <c r="G96" i="30"/>
  <c r="G97" i="30" s="1"/>
  <c r="G98" i="30" s="1"/>
  <c r="G99" i="30" s="1"/>
  <c r="G100" i="30"/>
  <c r="G101" i="30" s="1"/>
  <c r="G102" i="30" s="1"/>
  <c r="G103" i="30" s="1"/>
  <c r="G104" i="30"/>
  <c r="G105" i="30" s="1"/>
  <c r="G106" i="30" s="1"/>
  <c r="G107" i="30" s="1"/>
  <c r="G108" i="30"/>
  <c r="G9" i="30"/>
  <c r="AG30" i="69" l="1"/>
  <c r="X37" i="69"/>
  <c r="P13" i="69" s="1"/>
  <c r="AL13" i="69" s="1"/>
  <c r="N13" i="69"/>
  <c r="U22" i="69"/>
  <c r="V22" i="69" s="1"/>
  <c r="AN22" i="69" s="1"/>
  <c r="AG21" i="70"/>
  <c r="AA21" i="70"/>
  <c r="N22" i="69"/>
  <c r="X46" i="69"/>
  <c r="P22" i="69" s="1"/>
  <c r="AL22" i="69" s="1"/>
  <c r="R22" i="69"/>
  <c r="AB22" i="69" s="1"/>
  <c r="AF22" i="69" s="1"/>
  <c r="AB46" i="69"/>
  <c r="S22" i="69" s="1"/>
  <c r="AM22" i="69" s="1"/>
  <c r="AA24" i="70"/>
  <c r="AG24" i="70"/>
  <c r="X51" i="69"/>
  <c r="P27" i="69" s="1"/>
  <c r="AL27" i="69" s="1"/>
  <c r="N27" i="69"/>
  <c r="R27" i="69"/>
  <c r="AB27" i="69" s="1"/>
  <c r="AF27" i="69" s="1"/>
  <c r="AB51" i="69"/>
  <c r="S27" i="69" s="1"/>
  <c r="AM27" i="69" s="1"/>
  <c r="AL51" i="69"/>
  <c r="U27" i="69"/>
  <c r="V27" i="69" s="1"/>
  <c r="AN27" i="69" s="1"/>
  <c r="AA15" i="70"/>
  <c r="AG15" i="70"/>
  <c r="N18" i="71"/>
  <c r="X42" i="71"/>
  <c r="P18" i="71" s="1"/>
  <c r="AL18" i="71" s="1"/>
  <c r="N14" i="70"/>
  <c r="AA14" i="70" s="1"/>
  <c r="X38" i="70"/>
  <c r="P14" i="70" s="1"/>
  <c r="AL14" i="70" s="1"/>
  <c r="N25" i="69"/>
  <c r="X49" i="69"/>
  <c r="P25" i="69" s="1"/>
  <c r="AL25" i="69" s="1"/>
  <c r="AE27" i="70"/>
  <c r="U13" i="70"/>
  <c r="V13" i="70" s="1"/>
  <c r="AN13" i="70" s="1"/>
  <c r="AL37" i="70"/>
  <c r="AA17" i="69"/>
  <c r="AG17" i="69"/>
  <c r="R27" i="70"/>
  <c r="AB27" i="70" s="1"/>
  <c r="AF27" i="70" s="1"/>
  <c r="AB51" i="70"/>
  <c r="S27" i="70" s="1"/>
  <c r="AM27" i="70" s="1"/>
  <c r="N16" i="71"/>
  <c r="X40" i="71"/>
  <c r="P16" i="71" s="1"/>
  <c r="AL16" i="71" s="1"/>
  <c r="U20" i="69"/>
  <c r="V20" i="69" s="1"/>
  <c r="AN20" i="69" s="1"/>
  <c r="AL44" i="69"/>
  <c r="R26" i="54"/>
  <c r="AB26" i="54" s="1"/>
  <c r="AF26" i="54" s="1"/>
  <c r="AB50" i="54"/>
  <c r="S26" i="54" s="1"/>
  <c r="AM26" i="54" s="1"/>
  <c r="R13" i="70"/>
  <c r="AB13" i="70" s="1"/>
  <c r="AF13" i="70" s="1"/>
  <c r="AB37" i="70"/>
  <c r="S13" i="70" s="1"/>
  <c r="AM13" i="70" s="1"/>
  <c r="AA21" i="71"/>
  <c r="AG21" i="71"/>
  <c r="R18" i="71"/>
  <c r="AB18" i="71" s="1"/>
  <c r="AF18" i="71" s="1"/>
  <c r="AB42" i="71"/>
  <c r="S18" i="71" s="1"/>
  <c r="AM18" i="71" s="1"/>
  <c r="U18" i="71"/>
  <c r="V18" i="71" s="1"/>
  <c r="AN18" i="71" s="1"/>
  <c r="AL42" i="71"/>
  <c r="AA26" i="70"/>
  <c r="AG26" i="70"/>
  <c r="U25" i="69"/>
  <c r="V25" i="69" s="1"/>
  <c r="AN25" i="69" s="1"/>
  <c r="AL49" i="69"/>
  <c r="AB36" i="71"/>
  <c r="S12" i="71" s="1"/>
  <c r="AM12" i="71" s="1"/>
  <c r="R12" i="71"/>
  <c r="AB12" i="71" s="1"/>
  <c r="AF12" i="71" s="1"/>
  <c r="N13" i="70"/>
  <c r="X37" i="70"/>
  <c r="P13" i="70" s="1"/>
  <c r="AL13" i="70" s="1"/>
  <c r="AG30" i="54"/>
  <c r="U16" i="71"/>
  <c r="V16" i="71" s="1"/>
  <c r="AN16" i="71" s="1"/>
  <c r="AL40" i="71"/>
  <c r="AL50" i="54"/>
  <c r="AA16" i="70"/>
  <c r="AG16" i="70"/>
  <c r="U27" i="70"/>
  <c r="V27" i="70" s="1"/>
  <c r="AN27" i="70" s="1"/>
  <c r="AL51" i="70"/>
  <c r="N12" i="71"/>
  <c r="X36" i="71"/>
  <c r="P12" i="71" s="1"/>
  <c r="AL12" i="71" s="1"/>
  <c r="AA18" i="54"/>
  <c r="AG18" i="54"/>
  <c r="AA28" i="69"/>
  <c r="AG28" i="69"/>
  <c r="N20" i="69"/>
  <c r="X44" i="69"/>
  <c r="P20" i="69" s="1"/>
  <c r="AL20" i="69" s="1"/>
  <c r="AE14" i="70"/>
  <c r="R14" i="70"/>
  <c r="AB14" i="70" s="1"/>
  <c r="AF14" i="70" s="1"/>
  <c r="AB38" i="70"/>
  <c r="S14" i="70" s="1"/>
  <c r="AM14" i="70" s="1"/>
  <c r="AA25" i="70"/>
  <c r="AG25" i="70"/>
  <c r="AF46" i="70"/>
  <c r="AJ46" i="70" s="1"/>
  <c r="Z46" i="70"/>
  <c r="V46" i="70"/>
  <c r="AA30" i="70"/>
  <c r="AG30" i="70"/>
  <c r="R25" i="69"/>
  <c r="AB25" i="69" s="1"/>
  <c r="AF25" i="69" s="1"/>
  <c r="AB49" i="69"/>
  <c r="S25" i="69" s="1"/>
  <c r="AM25" i="69" s="1"/>
  <c r="U12" i="71"/>
  <c r="V12" i="71" s="1"/>
  <c r="AN12" i="71" s="1"/>
  <c r="AL36" i="71"/>
  <c r="N27" i="70"/>
  <c r="AA27" i="70" s="1"/>
  <c r="X51" i="70"/>
  <c r="P27" i="70" s="1"/>
  <c r="AL27" i="70" s="1"/>
  <c r="AA12" i="70"/>
  <c r="AG12" i="70"/>
  <c r="AA15" i="69"/>
  <c r="AG15" i="69"/>
  <c r="AB40" i="71"/>
  <c r="S16" i="71" s="1"/>
  <c r="AM16" i="71" s="1"/>
  <c r="R16" i="71"/>
  <c r="AB16" i="71" s="1"/>
  <c r="AF16" i="71" s="1"/>
  <c r="R20" i="69"/>
  <c r="AB20" i="69" s="1"/>
  <c r="AF20" i="69" s="1"/>
  <c r="AB44" i="69"/>
  <c r="S20" i="69" s="1"/>
  <c r="AM20" i="69" s="1"/>
  <c r="N26" i="54"/>
  <c r="X50" i="54"/>
  <c r="P26" i="54" s="1"/>
  <c r="AL26" i="54" s="1"/>
  <c r="AG30" i="71"/>
  <c r="AG21" i="54"/>
  <c r="AE22" i="70"/>
  <c r="G57" i="30"/>
  <c r="G58" i="30" s="1"/>
  <c r="G59" i="30" s="1"/>
  <c r="G60" i="30" s="1"/>
  <c r="G61" i="30" s="1"/>
  <c r="G62" i="30" s="1"/>
  <c r="G63" i="30" s="1"/>
  <c r="G64" i="30" s="1"/>
  <c r="G49" i="30"/>
  <c r="G50" i="30" s="1"/>
  <c r="G51" i="30" s="1"/>
  <c r="G52" i="30" s="1"/>
  <c r="G53" i="30" s="1"/>
  <c r="G54" i="30" s="1"/>
  <c r="G55" i="30" s="1"/>
  <c r="G10" i="30"/>
  <c r="E9" i="30"/>
  <c r="F9" i="30" s="1"/>
  <c r="H9" i="30"/>
  <c r="E10" i="30"/>
  <c r="H10" i="30"/>
  <c r="E11" i="30"/>
  <c r="H11" i="30"/>
  <c r="E12" i="30"/>
  <c r="H12" i="30"/>
  <c r="E13" i="30"/>
  <c r="H13" i="30"/>
  <c r="E14" i="30"/>
  <c r="H14" i="30"/>
  <c r="E15" i="30"/>
  <c r="F15" i="30" s="1"/>
  <c r="H15" i="30"/>
  <c r="E16" i="30"/>
  <c r="H16" i="30"/>
  <c r="E17" i="30"/>
  <c r="F17" i="30" s="1"/>
  <c r="H17" i="30"/>
  <c r="E18" i="30"/>
  <c r="H18" i="30"/>
  <c r="E19" i="30"/>
  <c r="F19" i="30" s="1"/>
  <c r="H19" i="30"/>
  <c r="E20" i="30"/>
  <c r="H20" i="30"/>
  <c r="E21" i="30"/>
  <c r="F21" i="30" s="1"/>
  <c r="H21" i="30"/>
  <c r="E22" i="30"/>
  <c r="H22" i="30"/>
  <c r="E23" i="30"/>
  <c r="F23" i="30" s="1"/>
  <c r="H23" i="30"/>
  <c r="E24" i="30"/>
  <c r="H24" i="30"/>
  <c r="E25" i="30"/>
  <c r="F25" i="30" s="1"/>
  <c r="H25" i="30"/>
  <c r="E26" i="30"/>
  <c r="H26" i="30"/>
  <c r="E27" i="30"/>
  <c r="F27" i="30" s="1"/>
  <c r="H27" i="30"/>
  <c r="E28" i="30"/>
  <c r="H28" i="30"/>
  <c r="E29" i="30"/>
  <c r="F29" i="30" s="1"/>
  <c r="H29" i="30"/>
  <c r="E30" i="30"/>
  <c r="H30" i="30"/>
  <c r="E31" i="30"/>
  <c r="F31" i="30" s="1"/>
  <c r="H31" i="30"/>
  <c r="E32" i="30"/>
  <c r="H32" i="30"/>
  <c r="E33" i="30"/>
  <c r="F33" i="30" s="1"/>
  <c r="H33" i="30"/>
  <c r="E34" i="30"/>
  <c r="H34" i="30"/>
  <c r="E35" i="30"/>
  <c r="F35" i="30" s="1"/>
  <c r="H35" i="30"/>
  <c r="E36" i="30"/>
  <c r="H36" i="30"/>
  <c r="E37" i="30"/>
  <c r="F37" i="30" s="1"/>
  <c r="H37" i="30"/>
  <c r="E38" i="30"/>
  <c r="H38" i="30"/>
  <c r="E39" i="30"/>
  <c r="H39" i="30"/>
  <c r="E40" i="30"/>
  <c r="H40" i="30"/>
  <c r="E41" i="30"/>
  <c r="H41" i="30"/>
  <c r="E42" i="30"/>
  <c r="H42" i="30"/>
  <c r="E43" i="30"/>
  <c r="H43" i="30"/>
  <c r="E44" i="30"/>
  <c r="H44" i="30"/>
  <c r="E45" i="30"/>
  <c r="H45" i="30"/>
  <c r="E46" i="30"/>
  <c r="H46" i="30"/>
  <c r="E47" i="30"/>
  <c r="H47" i="30"/>
  <c r="E48" i="30"/>
  <c r="H48" i="30"/>
  <c r="E49" i="30"/>
  <c r="H49" i="30"/>
  <c r="E50" i="30"/>
  <c r="H50" i="30"/>
  <c r="E51" i="30"/>
  <c r="H51" i="30"/>
  <c r="E52" i="30"/>
  <c r="H52" i="30"/>
  <c r="E53" i="30"/>
  <c r="H53" i="30"/>
  <c r="E54" i="30"/>
  <c r="H54" i="30"/>
  <c r="E55" i="30"/>
  <c r="H55" i="30"/>
  <c r="E56" i="30"/>
  <c r="H56" i="30"/>
  <c r="E57" i="30"/>
  <c r="H57" i="30"/>
  <c r="E58" i="30"/>
  <c r="H58" i="30"/>
  <c r="E59" i="30"/>
  <c r="H59" i="30"/>
  <c r="E60" i="30"/>
  <c r="H60" i="30"/>
  <c r="E61" i="30"/>
  <c r="F61" i="30" s="1"/>
  <c r="H61" i="30"/>
  <c r="E62" i="30"/>
  <c r="H62" i="30"/>
  <c r="E63" i="30"/>
  <c r="H63" i="30"/>
  <c r="E64" i="30"/>
  <c r="H64" i="30"/>
  <c r="E65" i="30"/>
  <c r="H65" i="30"/>
  <c r="E66" i="30"/>
  <c r="H66" i="30"/>
  <c r="E67" i="30"/>
  <c r="H67" i="30"/>
  <c r="E68" i="30"/>
  <c r="H68" i="30"/>
  <c r="E69" i="30"/>
  <c r="H69" i="30"/>
  <c r="E70" i="30"/>
  <c r="H70" i="30"/>
  <c r="E71" i="30"/>
  <c r="H71" i="30"/>
  <c r="E72" i="30"/>
  <c r="H72" i="30"/>
  <c r="E73" i="30"/>
  <c r="H73" i="30"/>
  <c r="E74" i="30"/>
  <c r="H74" i="30"/>
  <c r="E75" i="30"/>
  <c r="H75" i="30"/>
  <c r="E76" i="30"/>
  <c r="H76" i="30"/>
  <c r="E77" i="30"/>
  <c r="H77" i="30"/>
  <c r="E78" i="30"/>
  <c r="H78" i="30"/>
  <c r="E79" i="30"/>
  <c r="H79" i="30"/>
  <c r="E80" i="30"/>
  <c r="H80" i="30"/>
  <c r="E81" i="30"/>
  <c r="H81" i="30"/>
  <c r="E82" i="30"/>
  <c r="H82" i="30"/>
  <c r="E83" i="30"/>
  <c r="H83" i="30"/>
  <c r="E84" i="30"/>
  <c r="H84" i="30"/>
  <c r="E85" i="30"/>
  <c r="H85" i="30"/>
  <c r="E86" i="30"/>
  <c r="H86" i="30"/>
  <c r="E87" i="30"/>
  <c r="H87" i="30"/>
  <c r="E88" i="30"/>
  <c r="H88" i="30"/>
  <c r="E89" i="30"/>
  <c r="H89" i="30"/>
  <c r="E90" i="30"/>
  <c r="H90" i="30"/>
  <c r="E91" i="30"/>
  <c r="H91" i="30"/>
  <c r="E92" i="30"/>
  <c r="H92" i="30"/>
  <c r="E93" i="30"/>
  <c r="H93" i="30"/>
  <c r="E94" i="30"/>
  <c r="H94" i="30"/>
  <c r="E95" i="30"/>
  <c r="H95" i="30"/>
  <c r="E96" i="30"/>
  <c r="H96" i="30"/>
  <c r="E97" i="30"/>
  <c r="H97" i="30"/>
  <c r="E98" i="30"/>
  <c r="H98" i="30"/>
  <c r="E99" i="30"/>
  <c r="H99" i="30"/>
  <c r="E100" i="30"/>
  <c r="H100" i="30"/>
  <c r="E101" i="30"/>
  <c r="H101" i="30"/>
  <c r="E102" i="30"/>
  <c r="H102" i="30"/>
  <c r="E103" i="30"/>
  <c r="H103" i="30"/>
  <c r="E104" i="30"/>
  <c r="H104" i="30"/>
  <c r="E105" i="30"/>
  <c r="H105" i="30"/>
  <c r="E106" i="30"/>
  <c r="H106" i="30"/>
  <c r="E107" i="30"/>
  <c r="H107" i="30"/>
  <c r="E108" i="30"/>
  <c r="H108" i="30"/>
  <c r="AA13" i="69" l="1"/>
  <c r="AG13" i="69"/>
  <c r="AG14" i="70"/>
  <c r="AG22" i="69"/>
  <c r="AA22" i="69"/>
  <c r="AA27" i="69"/>
  <c r="AG27" i="69"/>
  <c r="AA26" i="54"/>
  <c r="AG26" i="54"/>
  <c r="N22" i="70"/>
  <c r="X46" i="70"/>
  <c r="P22" i="70" s="1"/>
  <c r="AL22" i="70" s="1"/>
  <c r="AA12" i="71"/>
  <c r="AG12" i="71"/>
  <c r="AA25" i="69"/>
  <c r="AG25" i="69"/>
  <c r="AA18" i="71"/>
  <c r="AG18" i="71"/>
  <c r="R22" i="70"/>
  <c r="AB22" i="70" s="1"/>
  <c r="AF22" i="70" s="1"/>
  <c r="AB46" i="70"/>
  <c r="S22" i="70" s="1"/>
  <c r="AM22" i="70" s="1"/>
  <c r="AG27" i="70"/>
  <c r="U22" i="70"/>
  <c r="V22" i="70" s="1"/>
  <c r="AN22" i="70" s="1"/>
  <c r="AL46" i="70"/>
  <c r="AA20" i="69"/>
  <c r="AG20" i="69"/>
  <c r="AA13" i="70"/>
  <c r="AG13" i="70"/>
  <c r="AA16" i="71"/>
  <c r="AG16" i="71"/>
  <c r="F106" i="30"/>
  <c r="F48" i="30"/>
  <c r="F46" i="30"/>
  <c r="F105" i="30"/>
  <c r="F97" i="30"/>
  <c r="F81" i="30"/>
  <c r="F73" i="30"/>
  <c r="F69" i="30"/>
  <c r="F65" i="30"/>
  <c r="F13" i="30"/>
  <c r="F11" i="30"/>
  <c r="F98" i="30"/>
  <c r="F57" i="30"/>
  <c r="F53" i="30"/>
  <c r="F42" i="30"/>
  <c r="F40" i="30"/>
  <c r="F38" i="30"/>
  <c r="F90" i="30"/>
  <c r="F82" i="30"/>
  <c r="F74" i="30"/>
  <c r="F58" i="30"/>
  <c r="F45" i="30"/>
  <c r="F43" i="30"/>
  <c r="F66" i="30"/>
  <c r="F107" i="30"/>
  <c r="F104" i="30"/>
  <c r="F102" i="30"/>
  <c r="F100" i="30"/>
  <c r="F95" i="30"/>
  <c r="F93" i="30"/>
  <c r="F91" i="30"/>
  <c r="F88" i="30"/>
  <c r="F86" i="30"/>
  <c r="F84" i="30"/>
  <c r="F79" i="30"/>
  <c r="F77" i="30"/>
  <c r="F75" i="30"/>
  <c r="F72" i="30"/>
  <c r="F70" i="30"/>
  <c r="F67" i="30"/>
  <c r="F64" i="30"/>
  <c r="F62" i="30"/>
  <c r="F59" i="30"/>
  <c r="F56" i="30"/>
  <c r="F54" i="30"/>
  <c r="F51" i="30"/>
  <c r="F49" i="30"/>
  <c r="F41" i="30"/>
  <c r="F89" i="30"/>
  <c r="F47" i="30"/>
  <c r="F44" i="30"/>
  <c r="F39" i="30"/>
  <c r="F36" i="30"/>
  <c r="F34" i="30"/>
  <c r="F32" i="30"/>
  <c r="F30" i="30"/>
  <c r="F28" i="30"/>
  <c r="F26" i="30"/>
  <c r="F24" i="30"/>
  <c r="F22" i="30"/>
  <c r="F20" i="30"/>
  <c r="F18" i="30"/>
  <c r="F16" i="30"/>
  <c r="F14" i="30"/>
  <c r="F12" i="30"/>
  <c r="F10" i="30"/>
  <c r="F108" i="30"/>
  <c r="F103" i="30"/>
  <c r="F101" i="30"/>
  <c r="F99" i="30"/>
  <c r="F96" i="30"/>
  <c r="F94" i="30"/>
  <c r="F92" i="30"/>
  <c r="F87" i="30"/>
  <c r="F85" i="30"/>
  <c r="F83" i="30"/>
  <c r="F80" i="30"/>
  <c r="F78" i="30"/>
  <c r="F76" i="30"/>
  <c r="F71" i="30"/>
  <c r="F68" i="30"/>
  <c r="F63" i="30"/>
  <c r="F60" i="30"/>
  <c r="F55" i="30"/>
  <c r="F52" i="30"/>
  <c r="F50" i="30"/>
  <c r="C5" i="2"/>
  <c r="C11" i="2"/>
  <c r="C15" i="2"/>
  <c r="C26" i="2"/>
  <c r="C31" i="2"/>
  <c r="C43" i="2"/>
  <c r="C53" i="2"/>
  <c r="C66" i="2"/>
  <c r="C78" i="2"/>
  <c r="C86" i="2"/>
  <c r="C29" i="2"/>
  <c r="C52" i="2"/>
  <c r="C77" i="2"/>
  <c r="C6" i="2"/>
  <c r="C12" i="2"/>
  <c r="C16" i="2"/>
  <c r="C27" i="2"/>
  <c r="C32" i="2"/>
  <c r="C47" i="2"/>
  <c r="C56" i="2"/>
  <c r="C71" i="2"/>
  <c r="C79" i="2"/>
  <c r="C88" i="2"/>
  <c r="C4" i="2"/>
  <c r="C8" i="2"/>
  <c r="C13" i="2"/>
  <c r="C23" i="2"/>
  <c r="C28" i="2"/>
  <c r="C33" i="2"/>
  <c r="C48" i="2"/>
  <c r="C61" i="2"/>
  <c r="C73" i="2"/>
  <c r="C81" i="2"/>
  <c r="C90" i="2"/>
  <c r="C9" i="2"/>
  <c r="C14" i="2"/>
  <c r="C24" i="2"/>
  <c r="C41" i="2"/>
  <c r="C64" i="2"/>
  <c r="C82" i="2"/>
  <c r="C55" i="2"/>
  <c r="C7" i="2"/>
  <c r="C19" i="2"/>
  <c r="C35" i="2"/>
  <c r="C39" i="2"/>
  <c r="C51" i="2"/>
  <c r="C60" i="2"/>
  <c r="C68" i="2"/>
  <c r="C72" i="2"/>
  <c r="C76" i="2"/>
  <c r="C80" i="2"/>
  <c r="C84" i="2"/>
  <c r="C21" i="2"/>
  <c r="C58" i="2"/>
  <c r="C62" i="2"/>
  <c r="C70" i="2"/>
  <c r="C74" i="2"/>
  <c r="C22" i="2"/>
  <c r="C38" i="2"/>
  <c r="C42" i="2"/>
  <c r="C46" i="2"/>
  <c r="C59" i="2"/>
  <c r="C63" i="2"/>
  <c r="C75" i="2"/>
  <c r="C83" i="2"/>
  <c r="C87" i="2"/>
  <c r="C20" i="2"/>
  <c r="C36" i="2"/>
  <c r="C40" i="2"/>
  <c r="C44" i="2"/>
  <c r="C57" i="2"/>
  <c r="C65" i="2"/>
  <c r="C69" i="2"/>
  <c r="C85" i="2"/>
  <c r="C89" i="2"/>
  <c r="C17" i="2"/>
  <c r="C25" i="2"/>
  <c r="C37" i="2"/>
  <c r="C45" i="2"/>
  <c r="C49" i="2"/>
  <c r="C10" i="2"/>
  <c r="C18" i="2"/>
  <c r="C34" i="2"/>
  <c r="C50" i="2"/>
  <c r="C30" i="2"/>
  <c r="C54" i="2"/>
  <c r="C67" i="2"/>
  <c r="AA22" i="70" l="1"/>
  <c r="AG22" i="70"/>
  <c r="Y37" i="17"/>
  <c r="Z37" i="17"/>
  <c r="AA37" i="17"/>
  <c r="Y38" i="17"/>
  <c r="Z38" i="17"/>
  <c r="AA38" i="17"/>
  <c r="Y39" i="17"/>
  <c r="Z39" i="17"/>
  <c r="AA39" i="17"/>
  <c r="Y40" i="17"/>
  <c r="Z40" i="17"/>
  <c r="AA40" i="17"/>
  <c r="Y41" i="17"/>
  <c r="Z41" i="17"/>
  <c r="AA41" i="17"/>
  <c r="Y42" i="17"/>
  <c r="Z42" i="17"/>
  <c r="AA42" i="17"/>
  <c r="Y43" i="17"/>
  <c r="Z43" i="17"/>
  <c r="AA43" i="17"/>
  <c r="Y44" i="17"/>
  <c r="Z44" i="17"/>
  <c r="AA44" i="17"/>
  <c r="Y45" i="17"/>
  <c r="Z45" i="17"/>
  <c r="AA45" i="17"/>
  <c r="Y46" i="17"/>
  <c r="Z46" i="17"/>
  <c r="AA46" i="17"/>
  <c r="Y47" i="17"/>
  <c r="Z47" i="17"/>
  <c r="AA47" i="17"/>
  <c r="Y48" i="17"/>
  <c r="Z48" i="17"/>
  <c r="AA48" i="17"/>
  <c r="Y49" i="17"/>
  <c r="Z49" i="17"/>
  <c r="AA49" i="17"/>
  <c r="Y50" i="17"/>
  <c r="Z50" i="17"/>
  <c r="AA50" i="17"/>
  <c r="Y51" i="17"/>
  <c r="Z51" i="17"/>
  <c r="AA51" i="17"/>
  <c r="Y52" i="17"/>
  <c r="Z52" i="17"/>
  <c r="AA52" i="17"/>
  <c r="Y53" i="17"/>
  <c r="Z53" i="17"/>
  <c r="AA53" i="17"/>
  <c r="Y54" i="17"/>
  <c r="Z54" i="17"/>
  <c r="AA54" i="17"/>
  <c r="Y55" i="17"/>
  <c r="Z55" i="17"/>
  <c r="AA55" i="17"/>
  <c r="Y56" i="17"/>
  <c r="Z56" i="17"/>
  <c r="AA56" i="17"/>
  <c r="Y57" i="17"/>
  <c r="Z57" i="17"/>
  <c r="AA57" i="17"/>
  <c r="Y58" i="17"/>
  <c r="Z58" i="17"/>
  <c r="AA58" i="17"/>
  <c r="Y59" i="17"/>
  <c r="Z59" i="17"/>
  <c r="AA59" i="17"/>
  <c r="Y60" i="17"/>
  <c r="Z60" i="17"/>
  <c r="AA60" i="17"/>
  <c r="Y61" i="17"/>
  <c r="Z61" i="17"/>
  <c r="AA61" i="17"/>
  <c r="Y62" i="17"/>
  <c r="Z62" i="17"/>
  <c r="AA62" i="17"/>
  <c r="Y63" i="17"/>
  <c r="Z63" i="17"/>
  <c r="AA63" i="17"/>
  <c r="Y64" i="17"/>
  <c r="Z64" i="17"/>
  <c r="AA64" i="17"/>
  <c r="Y65" i="17"/>
  <c r="Z65" i="17"/>
  <c r="AA65" i="17"/>
  <c r="O37" i="17" l="1"/>
  <c r="S37" i="17" s="1"/>
  <c r="P37" i="17"/>
  <c r="T37" i="17" s="1"/>
  <c r="O38" i="17"/>
  <c r="P38" i="17"/>
  <c r="O39" i="17"/>
  <c r="P39" i="17"/>
  <c r="O40" i="17"/>
  <c r="P40" i="17"/>
  <c r="O41" i="17"/>
  <c r="P41" i="17"/>
  <c r="O42" i="17"/>
  <c r="P42" i="17"/>
  <c r="O43" i="17"/>
  <c r="P43" i="17"/>
  <c r="O44" i="17"/>
  <c r="P44" i="17"/>
  <c r="O45" i="17"/>
  <c r="P45" i="17"/>
  <c r="O46" i="17"/>
  <c r="P46" i="17"/>
  <c r="O47" i="17"/>
  <c r="P47" i="17"/>
  <c r="O48" i="17"/>
  <c r="P48" i="17"/>
  <c r="O49" i="17"/>
  <c r="P49" i="17"/>
  <c r="O50" i="17"/>
  <c r="P50" i="17"/>
  <c r="O51" i="17"/>
  <c r="P51" i="17"/>
  <c r="O52" i="17"/>
  <c r="P52" i="17"/>
  <c r="O53" i="17"/>
  <c r="P53" i="17"/>
  <c r="O54" i="17"/>
  <c r="P54" i="17"/>
  <c r="O55" i="17"/>
  <c r="P55" i="17"/>
  <c r="O56" i="17"/>
  <c r="P56" i="17"/>
  <c r="O57" i="17"/>
  <c r="P57" i="17"/>
  <c r="O58" i="17"/>
  <c r="P58" i="17"/>
  <c r="O59" i="17"/>
  <c r="P59" i="17"/>
  <c r="O60" i="17"/>
  <c r="P60" i="17"/>
  <c r="O61" i="17"/>
  <c r="P61" i="17"/>
  <c r="O62" i="17"/>
  <c r="P62" i="17"/>
  <c r="O63" i="17"/>
  <c r="P63" i="17"/>
  <c r="O64" i="17"/>
  <c r="P64" i="17"/>
  <c r="N37" i="17"/>
  <c r="R37" i="17" s="1"/>
  <c r="N38" i="17"/>
  <c r="N39" i="17"/>
  <c r="N40" i="17"/>
  <c r="N41" i="17"/>
  <c r="N42" i="17"/>
  <c r="N43" i="17"/>
  <c r="N44" i="17"/>
  <c r="N45" i="17"/>
  <c r="N46" i="17"/>
  <c r="N47" i="17"/>
  <c r="N48" i="17"/>
  <c r="N49" i="17"/>
  <c r="N50" i="17"/>
  <c r="N51" i="17"/>
  <c r="N52" i="17"/>
  <c r="N53" i="17"/>
  <c r="N54" i="17"/>
  <c r="N55" i="17"/>
  <c r="N56" i="17"/>
  <c r="N57" i="17"/>
  <c r="N58" i="17"/>
  <c r="N59" i="17"/>
  <c r="N60" i="17"/>
  <c r="N61" i="17"/>
  <c r="N62" i="17"/>
  <c r="N63" i="17"/>
  <c r="N64" i="17"/>
  <c r="D22" i="4" l="1"/>
  <c r="E4" i="4" s="1"/>
  <c r="I43" i="4" l="1"/>
  <c r="AA35" i="28"/>
  <c r="Z35" i="28"/>
  <c r="G5" i="4" l="1"/>
  <c r="G6" i="4"/>
  <c r="I45" i="4"/>
  <c r="AA33" i="28"/>
  <c r="Z33" i="28"/>
  <c r="AB34" i="28"/>
  <c r="Z34" i="28"/>
  <c r="AA34" i="28"/>
  <c r="V112" i="28"/>
  <c r="V114" i="28" s="1"/>
  <c r="AA32" i="28"/>
  <c r="AB32" i="28"/>
  <c r="AC33" i="28" l="1"/>
  <c r="AC34" i="28"/>
  <c r="Z32" i="28"/>
  <c r="AC32" i="28" l="1"/>
  <c r="B22" i="28" s="1"/>
  <c r="S37" i="28"/>
  <c r="T36" i="28"/>
  <c r="U36" i="28" s="1"/>
  <c r="T35" i="28"/>
  <c r="AC35" i="28" s="1"/>
  <c r="T34" i="28"/>
  <c r="U34" i="28" s="1"/>
  <c r="T33" i="28"/>
  <c r="U33" i="28" s="1"/>
  <c r="T32" i="28"/>
  <c r="U32" i="28" s="1"/>
  <c r="R37" i="28"/>
  <c r="T37" i="28" s="1"/>
  <c r="U37" i="28" s="1"/>
  <c r="U38" i="28" l="1"/>
  <c r="U35" i="28"/>
  <c r="B21" i="28" l="1"/>
  <c r="K19" i="4" l="1"/>
  <c r="M19" i="4" l="1"/>
  <c r="E5" i="4" s="1"/>
  <c r="M20" i="4"/>
  <c r="E6" i="4" s="1"/>
  <c r="M22" i="4" l="1"/>
  <c r="V32" i="4"/>
  <c r="W32" i="4" s="1"/>
  <c r="P33" i="4"/>
  <c r="P31" i="4"/>
  <c r="Q32" i="4"/>
  <c r="P32" i="4" s="1"/>
  <c r="K33" i="4" l="1"/>
  <c r="F5" i="4" l="1"/>
  <c r="B11" i="28"/>
  <c r="H42" i="28" l="1"/>
  <c r="H44" i="28" s="1"/>
  <c r="A15" i="28"/>
  <c r="A14" i="28"/>
  <c r="A13" i="28"/>
  <c r="H36" i="28"/>
  <c r="B15" i="28" s="1"/>
  <c r="H33" i="28"/>
  <c r="B14" i="28" s="1"/>
  <c r="J25" i="28"/>
  <c r="H25" i="28"/>
  <c r="H27" i="28" s="1"/>
  <c r="B13" i="28" s="1"/>
  <c r="H18" i="28"/>
  <c r="B12" i="28" s="1"/>
  <c r="H16" i="28"/>
  <c r="H19" i="28" s="1"/>
  <c r="H10" i="28"/>
  <c r="H11" i="28" s="1"/>
  <c r="B10" i="28" s="1"/>
  <c r="E11" i="4" s="1"/>
  <c r="D5" i="4" s="1"/>
  <c r="B18" i="28" l="1"/>
  <c r="B17" i="28" s="1"/>
  <c r="C3" i="28" s="1"/>
  <c r="D3" i="28" s="1"/>
  <c r="F46" i="4"/>
  <c r="G7" i="4" s="1"/>
  <c r="F22" i="4"/>
  <c r="E7" i="4" s="1"/>
  <c r="P29" i="4"/>
  <c r="P28" i="4"/>
  <c r="P27" i="4"/>
  <c r="C4" i="28" l="1"/>
  <c r="D4" i="28" s="1"/>
  <c r="E12" i="4"/>
  <c r="I33" i="4"/>
  <c r="D6" i="4" l="1"/>
  <c r="E14" i="4"/>
  <c r="D7" i="4" s="1"/>
  <c r="F7" i="4"/>
  <c r="K34" i="4"/>
  <c r="F6" i="4" s="1"/>
  <c r="K84" i="12" l="1"/>
  <c r="U13" i="37" s="1"/>
  <c r="K80" i="12"/>
  <c r="U9" i="37" s="1"/>
  <c r="H25" i="23" l="1"/>
  <c r="I25" i="23" l="1"/>
  <c r="H85" i="23"/>
  <c r="AH14" i="37" s="1"/>
  <c r="T84" i="19"/>
  <c r="BJ13" i="37" s="1"/>
  <c r="P84" i="19"/>
  <c r="BF13" i="37" s="1"/>
  <c r="L84" i="19"/>
  <c r="BB13" i="37" s="1"/>
  <c r="I85" i="23" l="1"/>
  <c r="AI14" i="37" s="1"/>
  <c r="O25" i="23"/>
  <c r="U25" i="23" s="1"/>
  <c r="AA25" i="23" s="1"/>
  <c r="L82" i="19"/>
  <c r="BB11" i="37" s="1"/>
  <c r="D46" i="4"/>
  <c r="G4" i="4" s="1"/>
  <c r="L13" i="23"/>
  <c r="K13" i="23"/>
  <c r="J13" i="23"/>
  <c r="I13" i="23"/>
  <c r="H13" i="23"/>
  <c r="S10" i="23"/>
  <c r="L10" i="23" s="1"/>
  <c r="R10" i="23"/>
  <c r="K10" i="23" s="1"/>
  <c r="Q10" i="23"/>
  <c r="J10" i="23" s="1"/>
  <c r="J14" i="23" s="1"/>
  <c r="J15" i="23" s="1"/>
  <c r="P10" i="23"/>
  <c r="I10" i="23" s="1"/>
  <c r="I14" i="23" s="1"/>
  <c r="I15" i="23" s="1"/>
  <c r="O9" i="23"/>
  <c r="O10" i="23" s="1"/>
  <c r="H10" i="23" s="1"/>
  <c r="H14" i="23" s="1"/>
  <c r="H15" i="23" s="1"/>
  <c r="K14" i="23" l="1"/>
  <c r="K15" i="23" s="1"/>
  <c r="J25" i="23"/>
  <c r="P25" i="23" s="1"/>
  <c r="V25" i="23" s="1"/>
  <c r="AB25" i="23" s="1"/>
  <c r="L14" i="23"/>
  <c r="L15" i="23" s="1"/>
  <c r="K25" i="23"/>
  <c r="Q25" i="23" s="1"/>
  <c r="W25" i="23" s="1"/>
  <c r="AC25" i="23" s="1"/>
  <c r="T82" i="19"/>
  <c r="BJ11" i="37" s="1"/>
  <c r="P82" i="19"/>
  <c r="BF11" i="37" s="1"/>
  <c r="L85" i="23"/>
  <c r="AL14" i="37" s="1"/>
  <c r="J36" i="4"/>
  <c r="J33" i="4"/>
  <c r="T85" i="23" l="1"/>
  <c r="AT14" i="37" s="1"/>
  <c r="P85" i="23"/>
  <c r="AP14" i="37" s="1"/>
  <c r="D40" i="4"/>
  <c r="F4" i="4" s="1"/>
  <c r="AI4" i="20"/>
  <c r="AK4" i="20" s="1"/>
  <c r="H26" i="12"/>
  <c r="H86" i="12" s="1"/>
  <c r="R15" i="37" s="1"/>
  <c r="K25" i="12"/>
  <c r="K85" i="12" s="1"/>
  <c r="U14" i="37" s="1"/>
  <c r="J25" i="12"/>
  <c r="J85" i="12" s="1"/>
  <c r="T14" i="37" s="1"/>
  <c r="I25" i="12"/>
  <c r="I85" i="12" s="1"/>
  <c r="S14" i="37" s="1"/>
  <c r="J24" i="12"/>
  <c r="I24" i="12"/>
  <c r="I84" i="12" s="1"/>
  <c r="S13" i="37" s="1"/>
  <c r="H24" i="12"/>
  <c r="H23" i="12"/>
  <c r="T23" i="12" s="1"/>
  <c r="P83" i="12" s="1"/>
  <c r="Z12" i="37" s="1"/>
  <c r="I22" i="12"/>
  <c r="H22" i="12"/>
  <c r="Q24" i="12"/>
  <c r="O84" i="12" s="1"/>
  <c r="Y13" i="37" s="1"/>
  <c r="Q25" i="12"/>
  <c r="O85" i="12" s="1"/>
  <c r="Y14" i="37" s="1"/>
  <c r="S51" i="12"/>
  <c r="R51" i="12"/>
  <c r="O48" i="12"/>
  <c r="O49" i="12"/>
  <c r="O46" i="12"/>
  <c r="G37" i="4"/>
  <c r="H32" i="4"/>
  <c r="G32" i="4"/>
  <c r="F32" i="4"/>
  <c r="E32" i="4"/>
  <c r="D32" i="4"/>
  <c r="H33" i="4"/>
  <c r="H35" i="4" s="1"/>
  <c r="G33" i="4"/>
  <c r="F33" i="4"/>
  <c r="F35" i="4" s="1"/>
  <c r="E33" i="4"/>
  <c r="D33" i="4"/>
  <c r="G29" i="4"/>
  <c r="G28" i="4"/>
  <c r="G27" i="4"/>
  <c r="H22" i="23"/>
  <c r="H82" i="23" s="1"/>
  <c r="O33" i="23"/>
  <c r="N33" i="23"/>
  <c r="M33" i="23"/>
  <c r="O32" i="23"/>
  <c r="N32" i="23"/>
  <c r="M32" i="23"/>
  <c r="C54" i="24"/>
  <c r="C53" i="24"/>
  <c r="AC38" i="24"/>
  <c r="AB38" i="24"/>
  <c r="W38" i="24"/>
  <c r="V38" i="24"/>
  <c r="Q38" i="24"/>
  <c r="P38" i="24"/>
  <c r="K38" i="24"/>
  <c r="J38" i="24"/>
  <c r="AC35" i="24"/>
  <c r="AB35" i="24"/>
  <c r="W35" i="24"/>
  <c r="V35" i="24"/>
  <c r="Q35" i="24"/>
  <c r="P35" i="24"/>
  <c r="K35" i="24"/>
  <c r="J35" i="24"/>
  <c r="O33" i="24"/>
  <c r="N33" i="24"/>
  <c r="M33" i="24"/>
  <c r="O32" i="24"/>
  <c r="N32" i="24"/>
  <c r="M32" i="24"/>
  <c r="Z28" i="24"/>
  <c r="Z39" i="24" s="1"/>
  <c r="T28" i="24"/>
  <c r="N28" i="24"/>
  <c r="H26" i="24"/>
  <c r="N26" i="24" s="1"/>
  <c r="T26" i="24" s="1"/>
  <c r="Z26" i="24" s="1"/>
  <c r="I25" i="24"/>
  <c r="O25" i="24" s="1"/>
  <c r="U25" i="24" s="1"/>
  <c r="AA25" i="24" s="1"/>
  <c r="W84" i="24"/>
  <c r="O84" i="24"/>
  <c r="J13" i="37" s="1"/>
  <c r="I24" i="24"/>
  <c r="H24" i="24"/>
  <c r="H23" i="24"/>
  <c r="I22" i="24"/>
  <c r="J22" i="24" s="1"/>
  <c r="N36" i="24"/>
  <c r="AC38" i="23"/>
  <c r="AB38" i="23"/>
  <c r="W38" i="23"/>
  <c r="V38" i="23"/>
  <c r="Q38" i="23"/>
  <c r="P38" i="23"/>
  <c r="K38" i="23"/>
  <c r="J38" i="23"/>
  <c r="AC35" i="23"/>
  <c r="AB35" i="23"/>
  <c r="W35" i="23"/>
  <c r="V35" i="23"/>
  <c r="Q35" i="23"/>
  <c r="P35" i="23"/>
  <c r="K35" i="23"/>
  <c r="J35" i="23"/>
  <c r="Z28" i="23"/>
  <c r="Z39" i="23" s="1"/>
  <c r="T28" i="23"/>
  <c r="N28" i="23"/>
  <c r="H26" i="23"/>
  <c r="N26" i="23" s="1"/>
  <c r="T26" i="23" s="1"/>
  <c r="Z26" i="23" s="1"/>
  <c r="M85" i="23"/>
  <c r="AM14" i="37" s="1"/>
  <c r="I24" i="23"/>
  <c r="H24" i="23"/>
  <c r="H84" i="23" s="1"/>
  <c r="AH13" i="37" s="1"/>
  <c r="I22" i="23"/>
  <c r="H24" i="22"/>
  <c r="H84" i="22" s="1"/>
  <c r="BN13" i="37" s="1"/>
  <c r="I23" i="22"/>
  <c r="I24" i="22"/>
  <c r="K80" i="22"/>
  <c r="BQ9" i="37" s="1"/>
  <c r="K84" i="22"/>
  <c r="BQ13" i="37" s="1"/>
  <c r="K38" i="22"/>
  <c r="J38" i="22"/>
  <c r="H26" i="22"/>
  <c r="I22" i="22"/>
  <c r="AC38" i="22"/>
  <c r="AB38" i="22"/>
  <c r="W38" i="22"/>
  <c r="V38" i="22"/>
  <c r="Q38" i="22"/>
  <c r="P38" i="22"/>
  <c r="K35" i="22"/>
  <c r="J35" i="22"/>
  <c r="AC35" i="22"/>
  <c r="AB35" i="22"/>
  <c r="W35" i="22"/>
  <c r="V35" i="22"/>
  <c r="Q35" i="22"/>
  <c r="P35" i="22"/>
  <c r="I24" i="19"/>
  <c r="K84" i="19"/>
  <c r="BA13" i="37" s="1"/>
  <c r="J84" i="19"/>
  <c r="AZ13" i="37" s="1"/>
  <c r="J38" i="19"/>
  <c r="H24" i="19"/>
  <c r="H84" i="19" s="1"/>
  <c r="AX13" i="37" s="1"/>
  <c r="K35" i="19"/>
  <c r="J35" i="19"/>
  <c r="K38" i="19"/>
  <c r="AC38" i="19"/>
  <c r="AB38" i="19"/>
  <c r="W38" i="19"/>
  <c r="V38" i="19"/>
  <c r="Q38" i="19"/>
  <c r="P38" i="19"/>
  <c r="AC35" i="19"/>
  <c r="AB35" i="19"/>
  <c r="W35" i="19"/>
  <c r="V35" i="19"/>
  <c r="Q35" i="19"/>
  <c r="P35" i="19"/>
  <c r="P31" i="22"/>
  <c r="O32" i="22"/>
  <c r="H23" i="22"/>
  <c r="H23" i="19"/>
  <c r="I22" i="19"/>
  <c r="H22" i="22"/>
  <c r="H82" i="22" s="1"/>
  <c r="L66" i="22"/>
  <c r="K66" i="22"/>
  <c r="J66" i="22"/>
  <c r="K80" i="19"/>
  <c r="BA9" i="37" s="1"/>
  <c r="H22" i="19"/>
  <c r="H82" i="19" s="1"/>
  <c r="J38" i="12"/>
  <c r="K38" i="12"/>
  <c r="P38" i="12"/>
  <c r="Q38" i="12"/>
  <c r="V38" i="12"/>
  <c r="W38" i="12"/>
  <c r="AB38" i="12"/>
  <c r="AC38" i="12"/>
  <c r="J35" i="12"/>
  <c r="K35" i="12"/>
  <c r="P35" i="12"/>
  <c r="Q35" i="12"/>
  <c r="V35" i="12"/>
  <c r="W35" i="12"/>
  <c r="AB35" i="12"/>
  <c r="AC35" i="12"/>
  <c r="V6" i="20"/>
  <c r="W6" i="20" s="1"/>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M82" i="19"/>
  <c r="BC11" i="37" s="1"/>
  <c r="L66" i="19"/>
  <c r="K66" i="19"/>
  <c r="J66" i="19"/>
  <c r="F37" i="17"/>
  <c r="F38" i="17"/>
  <c r="F39" i="17"/>
  <c r="F40" i="17"/>
  <c r="F41" i="17"/>
  <c r="F42" i="17"/>
  <c r="F43" i="17"/>
  <c r="F44" i="17"/>
  <c r="F45" i="17"/>
  <c r="F46" i="17"/>
  <c r="F47" i="17"/>
  <c r="F48" i="17"/>
  <c r="F49" i="17"/>
  <c r="F50" i="17"/>
  <c r="F51" i="17"/>
  <c r="F52" i="17"/>
  <c r="F53" i="17"/>
  <c r="F54" i="17"/>
  <c r="F55" i="17"/>
  <c r="F56" i="17"/>
  <c r="F57" i="17"/>
  <c r="F58" i="17"/>
  <c r="F59" i="17"/>
  <c r="F36" i="17"/>
  <c r="N32" i="12"/>
  <c r="M32" i="12"/>
  <c r="M33" i="12"/>
  <c r="N33" i="12"/>
  <c r="D23" i="17"/>
  <c r="D24" i="17"/>
  <c r="D25" i="17"/>
  <c r="D22" i="17"/>
  <c r="J17" i="17"/>
  <c r="J16" i="17"/>
  <c r="J15" i="17"/>
  <c r="J14" i="17"/>
  <c r="J13" i="17"/>
  <c r="J12" i="17"/>
  <c r="J11" i="17"/>
  <c r="J10" i="17"/>
  <c r="J9" i="17"/>
  <c r="J8" i="17"/>
  <c r="J7" i="17"/>
  <c r="J6" i="17"/>
  <c r="J5" i="17"/>
  <c r="J4" i="17"/>
  <c r="J3" i="17"/>
  <c r="I4" i="17"/>
  <c r="I5" i="17"/>
  <c r="I6" i="17"/>
  <c r="I7" i="17"/>
  <c r="I8" i="17"/>
  <c r="I9" i="17"/>
  <c r="I10" i="17"/>
  <c r="I11" i="17"/>
  <c r="I12" i="17"/>
  <c r="I13" i="17"/>
  <c r="I14" i="17"/>
  <c r="I15" i="17"/>
  <c r="I16" i="17"/>
  <c r="I17" i="17"/>
  <c r="I3" i="17"/>
  <c r="C54" i="12"/>
  <c r="C53" i="12"/>
  <c r="Z28" i="12"/>
  <c r="Z36" i="12" s="1"/>
  <c r="T28" i="12"/>
  <c r="T36" i="12" s="1"/>
  <c r="N28" i="12"/>
  <c r="AC24" i="12"/>
  <c r="W84" i="12" s="1"/>
  <c r="AG13" i="37" s="1"/>
  <c r="Z39" i="12"/>
  <c r="O52" i="12"/>
  <c r="O25" i="12"/>
  <c r="M85" i="12" s="1"/>
  <c r="W14" i="37" s="1"/>
  <c r="H28" i="12"/>
  <c r="H36" i="12" s="1"/>
  <c r="I28" i="12"/>
  <c r="O24" i="12"/>
  <c r="M84" i="12" s="1"/>
  <c r="W13" i="37" s="1"/>
  <c r="AA24" i="12"/>
  <c r="U84" i="12" s="1"/>
  <c r="AE13" i="37" s="1"/>
  <c r="AB24" i="12"/>
  <c r="V84" i="12" s="1"/>
  <c r="AF13" i="37" s="1"/>
  <c r="I36" i="12"/>
  <c r="O28" i="12" l="1"/>
  <c r="U25" i="12"/>
  <c r="Q85" i="12" s="1"/>
  <c r="AA14" i="37" s="1"/>
  <c r="X6" i="20"/>
  <c r="J33" i="41"/>
  <c r="AJ6" i="20"/>
  <c r="J31" i="41"/>
  <c r="AJ4" i="20"/>
  <c r="J30" i="41"/>
  <c r="AJ3" i="20"/>
  <c r="J32" i="41"/>
  <c r="AJ5" i="20"/>
  <c r="I82" i="19"/>
  <c r="AY11" i="37" s="1"/>
  <c r="J22" i="19"/>
  <c r="Z23" i="19"/>
  <c r="AA23" i="19" s="1"/>
  <c r="AB23" i="19" s="1"/>
  <c r="T23" i="19"/>
  <c r="U23" i="19" s="1"/>
  <c r="V23" i="19" s="1"/>
  <c r="N23" i="19"/>
  <c r="O23" i="19" s="1"/>
  <c r="P23" i="19" s="1"/>
  <c r="Z23" i="22"/>
  <c r="T23" i="22"/>
  <c r="N23" i="22"/>
  <c r="H83" i="22"/>
  <c r="BN12" i="37" s="1"/>
  <c r="I84" i="19"/>
  <c r="AY13" i="37" s="1"/>
  <c r="AA24" i="19"/>
  <c r="O24" i="19"/>
  <c r="I82" i="22"/>
  <c r="BO11" i="37" s="1"/>
  <c r="J22" i="22"/>
  <c r="H86" i="22"/>
  <c r="BN15" i="37" s="1"/>
  <c r="N26" i="22"/>
  <c r="T26" i="22" s="1"/>
  <c r="Z26" i="22" s="1"/>
  <c r="I84" i="22"/>
  <c r="BO13" i="37" s="1"/>
  <c r="AA24" i="22"/>
  <c r="O24" i="22"/>
  <c r="U24" i="22" s="1"/>
  <c r="J24" i="22"/>
  <c r="I83" i="22"/>
  <c r="BO12" i="37" s="1"/>
  <c r="J23" i="22"/>
  <c r="J22" i="23"/>
  <c r="I82" i="23"/>
  <c r="AI11" i="37" s="1"/>
  <c r="AA24" i="23"/>
  <c r="U84" i="23" s="1"/>
  <c r="AU13" i="37" s="1"/>
  <c r="O24" i="23"/>
  <c r="O28" i="23" s="1"/>
  <c r="O36" i="23" s="1"/>
  <c r="J24" i="23"/>
  <c r="I84" i="23"/>
  <c r="AI13" i="37" s="1"/>
  <c r="Q22" i="24"/>
  <c r="W22" i="24" s="1"/>
  <c r="AC22" i="24" s="1"/>
  <c r="J80" i="24"/>
  <c r="Z23" i="24"/>
  <c r="AA23" i="24" s="1"/>
  <c r="AB23" i="24" s="1"/>
  <c r="T23" i="24"/>
  <c r="U23" i="24" s="1"/>
  <c r="V23" i="24" s="1"/>
  <c r="R81" i="24" s="1"/>
  <c r="N23" i="24"/>
  <c r="O23" i="24" s="1"/>
  <c r="P23" i="24" s="1"/>
  <c r="J24" i="24"/>
  <c r="AA24" i="24"/>
  <c r="O24" i="24"/>
  <c r="U24" i="24" s="1"/>
  <c r="AH11" i="37"/>
  <c r="H42" i="12"/>
  <c r="H82" i="12"/>
  <c r="R11" i="37" s="1"/>
  <c r="I82" i="12"/>
  <c r="S11" i="37" s="1"/>
  <c r="J22" i="12"/>
  <c r="H44" i="12"/>
  <c r="H84" i="12"/>
  <c r="R13" i="37" s="1"/>
  <c r="P25" i="12"/>
  <c r="W25" i="12"/>
  <c r="S85" i="12" s="1"/>
  <c r="AC14" i="37" s="1"/>
  <c r="J84" i="12"/>
  <c r="T13" i="37" s="1"/>
  <c r="Z23" i="12"/>
  <c r="N26" i="12"/>
  <c r="L86" i="12" s="1"/>
  <c r="V15" i="37" s="1"/>
  <c r="O84" i="22"/>
  <c r="BU13" i="37" s="1"/>
  <c r="BN11" i="37"/>
  <c r="AX11" i="37"/>
  <c r="J85" i="22"/>
  <c r="BP14" i="37" s="1"/>
  <c r="H28" i="22"/>
  <c r="N81" i="24"/>
  <c r="M81" i="24" s="1"/>
  <c r="I23" i="19"/>
  <c r="H83" i="19"/>
  <c r="AX12" i="37" s="1"/>
  <c r="I26" i="19"/>
  <c r="I27" i="19" s="1"/>
  <c r="I35" i="19" s="1"/>
  <c r="H86" i="19"/>
  <c r="AX15" i="37" s="1"/>
  <c r="N85" i="24"/>
  <c r="I14" i="37" s="1"/>
  <c r="J85" i="24"/>
  <c r="E14" i="37" s="1"/>
  <c r="I10" i="37"/>
  <c r="O85" i="24"/>
  <c r="J14" i="37" s="1"/>
  <c r="K85" i="24"/>
  <c r="F14" i="37" s="1"/>
  <c r="I80" i="24"/>
  <c r="E9" i="37"/>
  <c r="U84" i="24"/>
  <c r="P13" i="37" s="1"/>
  <c r="I84" i="24"/>
  <c r="D13" i="37" s="1"/>
  <c r="M85" i="24"/>
  <c r="H14" i="37" s="1"/>
  <c r="I85" i="24"/>
  <c r="D14" i="37" s="1"/>
  <c r="J84" i="24"/>
  <c r="E13" i="37" s="1"/>
  <c r="Z36" i="24"/>
  <c r="M82" i="24"/>
  <c r="H11" i="37" s="1"/>
  <c r="I82" i="24"/>
  <c r="D11" i="37" s="1"/>
  <c r="H28" i="24"/>
  <c r="H36" i="24" s="1"/>
  <c r="H84" i="24"/>
  <c r="C13" i="37" s="1"/>
  <c r="H27" i="12"/>
  <c r="H29" i="12" s="1"/>
  <c r="N23" i="12"/>
  <c r="O47" i="12" s="1"/>
  <c r="H86" i="24"/>
  <c r="C15" i="37" s="1"/>
  <c r="I26" i="12"/>
  <c r="I46" i="12" s="1"/>
  <c r="AA23" i="12"/>
  <c r="T83" i="12"/>
  <c r="AD12" i="37" s="1"/>
  <c r="P83" i="24"/>
  <c r="K12" i="37" s="1"/>
  <c r="I26" i="23"/>
  <c r="H86" i="23"/>
  <c r="AH15" i="37" s="1"/>
  <c r="I23" i="24"/>
  <c r="H83" i="24"/>
  <c r="C12" i="37" s="1"/>
  <c r="H43" i="12"/>
  <c r="H83" i="12"/>
  <c r="R12" i="37" s="1"/>
  <c r="U23" i="12"/>
  <c r="H27" i="24"/>
  <c r="H38" i="24" s="1"/>
  <c r="H46" i="12"/>
  <c r="I28" i="24"/>
  <c r="G35" i="4"/>
  <c r="I26" i="22"/>
  <c r="O26" i="22" s="1"/>
  <c r="U26" i="22" s="1"/>
  <c r="AA26" i="22" s="1"/>
  <c r="N84" i="19"/>
  <c r="BD13" i="37" s="1"/>
  <c r="I25" i="19"/>
  <c r="O25" i="19" s="1"/>
  <c r="U25" i="19" s="1"/>
  <c r="AA25" i="19" s="1"/>
  <c r="H25" i="19"/>
  <c r="G38" i="4"/>
  <c r="R49" i="12"/>
  <c r="K85" i="22"/>
  <c r="BQ14" i="37" s="1"/>
  <c r="J80" i="12"/>
  <c r="T9" i="37" s="1"/>
  <c r="V84" i="19"/>
  <c r="BL13" i="37" s="1"/>
  <c r="N36" i="12"/>
  <c r="O36" i="12"/>
  <c r="U24" i="12"/>
  <c r="AA25" i="12"/>
  <c r="U85" i="12" s="1"/>
  <c r="AE14" i="37" s="1"/>
  <c r="AC25" i="12"/>
  <c r="W85" i="12" s="1"/>
  <c r="AG14" i="37" s="1"/>
  <c r="M84" i="19"/>
  <c r="BC13" i="37" s="1"/>
  <c r="I27" i="22"/>
  <c r="P84" i="22"/>
  <c r="BV13" i="37" s="1"/>
  <c r="Q85" i="24"/>
  <c r="L14" i="37" s="1"/>
  <c r="T36" i="24"/>
  <c r="R85" i="24"/>
  <c r="M14" i="37" s="1"/>
  <c r="S85" i="24"/>
  <c r="N14" i="37" s="1"/>
  <c r="N85" i="22"/>
  <c r="BT14" i="37" s="1"/>
  <c r="K45" i="12"/>
  <c r="I45" i="12"/>
  <c r="J42" i="12"/>
  <c r="H45" i="12"/>
  <c r="K44" i="12"/>
  <c r="J45" i="12"/>
  <c r="K42" i="12"/>
  <c r="T36" i="23"/>
  <c r="D35" i="4"/>
  <c r="S49" i="12"/>
  <c r="I42" i="12"/>
  <c r="I23" i="12"/>
  <c r="J23" i="12" s="1"/>
  <c r="J81" i="12" s="1"/>
  <c r="I44" i="12"/>
  <c r="H23" i="23"/>
  <c r="E35" i="4"/>
  <c r="N36" i="23"/>
  <c r="H28" i="23"/>
  <c r="H36" i="23" s="1"/>
  <c r="I36" i="24"/>
  <c r="M84" i="24"/>
  <c r="H13" i="37" s="1"/>
  <c r="V81" i="24"/>
  <c r="I26" i="24"/>
  <c r="P24" i="12"/>
  <c r="S48" i="12"/>
  <c r="J44" i="12"/>
  <c r="K23" i="12"/>
  <c r="W84" i="19"/>
  <c r="BM13" i="37" s="1"/>
  <c r="Q82" i="19"/>
  <c r="BG11" i="37" s="1"/>
  <c r="N80" i="19"/>
  <c r="H27" i="22"/>
  <c r="O84" i="19"/>
  <c r="BE13" i="37" s="1"/>
  <c r="H27" i="19"/>
  <c r="H38" i="19" s="1"/>
  <c r="Z36" i="23"/>
  <c r="Q85" i="23"/>
  <c r="AQ14" i="37" s="1"/>
  <c r="I28" i="23"/>
  <c r="T26" i="12" l="1"/>
  <c r="P86" i="12" s="1"/>
  <c r="Z15" i="37" s="1"/>
  <c r="O50" i="12"/>
  <c r="I80" i="12"/>
  <c r="S9" i="37" s="1"/>
  <c r="Q83" i="24"/>
  <c r="L12" i="37" s="1"/>
  <c r="J43" i="12"/>
  <c r="I86" i="24"/>
  <c r="D15" i="37" s="1"/>
  <c r="O26" i="24"/>
  <c r="U26" i="24" s="1"/>
  <c r="AA26" i="24" s="1"/>
  <c r="H83" i="23"/>
  <c r="AH12" i="37" s="1"/>
  <c r="Z23" i="23"/>
  <c r="AA23" i="23" s="1"/>
  <c r="AB23" i="23" s="1"/>
  <c r="V81" i="23" s="1"/>
  <c r="T23" i="23"/>
  <c r="U23" i="23" s="1"/>
  <c r="V23" i="23" s="1"/>
  <c r="R81" i="23" s="1"/>
  <c r="N23" i="23"/>
  <c r="O23" i="23" s="1"/>
  <c r="P23" i="23" s="1"/>
  <c r="N81" i="23" s="1"/>
  <c r="T10" i="37"/>
  <c r="I81" i="12"/>
  <c r="I85" i="22"/>
  <c r="BO14" i="37" s="1"/>
  <c r="O25" i="22"/>
  <c r="U25" i="22" s="1"/>
  <c r="AA25" i="22" s="1"/>
  <c r="Q83" i="12"/>
  <c r="AA12" i="37" s="1"/>
  <c r="V23" i="12"/>
  <c r="R81" i="12" s="1"/>
  <c r="I83" i="24"/>
  <c r="D12" i="37" s="1"/>
  <c r="J23" i="24"/>
  <c r="I86" i="23"/>
  <c r="AI15" i="37" s="1"/>
  <c r="O26" i="23"/>
  <c r="U26" i="23" s="1"/>
  <c r="AA26" i="23" s="1"/>
  <c r="U83" i="12"/>
  <c r="AE12" i="37" s="1"/>
  <c r="AB23" i="12"/>
  <c r="V81" i="12" s="1"/>
  <c r="I83" i="19"/>
  <c r="AY12" i="37" s="1"/>
  <c r="J23" i="19"/>
  <c r="P24" i="24"/>
  <c r="AB24" i="24"/>
  <c r="V84" i="24" s="1"/>
  <c r="Q13" i="37" s="1"/>
  <c r="P24" i="23"/>
  <c r="AB24" i="23"/>
  <c r="V84" i="23" s="1"/>
  <c r="AV13" i="37" s="1"/>
  <c r="J84" i="23"/>
  <c r="AJ13" i="37" s="1"/>
  <c r="U24" i="23"/>
  <c r="Q84" i="23" s="1"/>
  <c r="AQ13" i="37" s="1"/>
  <c r="M84" i="23"/>
  <c r="AM13" i="37" s="1"/>
  <c r="Q22" i="23"/>
  <c r="J80" i="23"/>
  <c r="K23" i="22"/>
  <c r="J81" i="22"/>
  <c r="P24" i="22"/>
  <c r="AB24" i="22"/>
  <c r="J84" i="22"/>
  <c r="BP13" i="37" s="1"/>
  <c r="Q22" i="22"/>
  <c r="W22" i="22" s="1"/>
  <c r="AC22" i="22" s="1"/>
  <c r="J80" i="22"/>
  <c r="U24" i="19"/>
  <c r="V24" i="19" s="1"/>
  <c r="W24" i="19" s="1"/>
  <c r="O23" i="22"/>
  <c r="L83" i="22"/>
  <c r="BR12" i="37" s="1"/>
  <c r="U23" i="22"/>
  <c r="P83" i="22"/>
  <c r="BV12" i="37" s="1"/>
  <c r="AA23" i="22"/>
  <c r="T83" i="22"/>
  <c r="BZ12" i="37" s="1"/>
  <c r="Q22" i="19"/>
  <c r="W22" i="19" s="1"/>
  <c r="AC22" i="19" s="1"/>
  <c r="J80" i="19"/>
  <c r="N85" i="12"/>
  <c r="X14" i="37" s="1"/>
  <c r="V25" i="12"/>
  <c r="J26" i="22"/>
  <c r="J26" i="23"/>
  <c r="J26" i="24"/>
  <c r="J26" i="12"/>
  <c r="I86" i="19"/>
  <c r="AY15" i="37" s="1"/>
  <c r="O26" i="19"/>
  <c r="O27" i="19" s="1"/>
  <c r="O38" i="19" s="1"/>
  <c r="J26" i="19"/>
  <c r="S10" i="37"/>
  <c r="H81" i="12"/>
  <c r="R10" i="37" s="1"/>
  <c r="H80" i="12"/>
  <c r="R9" i="37" s="1"/>
  <c r="I28" i="22"/>
  <c r="I39" i="22" s="1"/>
  <c r="N27" i="12"/>
  <c r="N27" i="22"/>
  <c r="N35" i="22" s="1"/>
  <c r="O23" i="12"/>
  <c r="P23" i="12" s="1"/>
  <c r="L83" i="12"/>
  <c r="V12" i="37" s="1"/>
  <c r="M84" i="22"/>
  <c r="BS13" i="37" s="1"/>
  <c r="L86" i="22"/>
  <c r="BR15" i="37" s="1"/>
  <c r="M86" i="22"/>
  <c r="BS15" i="37" s="1"/>
  <c r="I86" i="22"/>
  <c r="BO15" i="37" s="1"/>
  <c r="N28" i="22"/>
  <c r="H85" i="22"/>
  <c r="BN14" i="37" s="1"/>
  <c r="BD9" i="37"/>
  <c r="M80" i="19"/>
  <c r="U84" i="19"/>
  <c r="BK13" i="37" s="1"/>
  <c r="M83" i="19"/>
  <c r="BC12" i="37" s="1"/>
  <c r="L83" i="19"/>
  <c r="BB12" i="37" s="1"/>
  <c r="U83" i="19"/>
  <c r="BK12" i="37" s="1"/>
  <c r="T83" i="19"/>
  <c r="BJ12" i="37" s="1"/>
  <c r="Q83" i="19"/>
  <c r="BG12" i="37" s="1"/>
  <c r="P83" i="19"/>
  <c r="BF12" i="37" s="1"/>
  <c r="I28" i="19"/>
  <c r="I36" i="19" s="1"/>
  <c r="I37" i="19" s="1"/>
  <c r="I85" i="19"/>
  <c r="AY14" i="37" s="1"/>
  <c r="H85" i="19"/>
  <c r="AX14" i="37" s="1"/>
  <c r="P86" i="19"/>
  <c r="BF15" i="37" s="1"/>
  <c r="L86" i="19"/>
  <c r="BB15" i="37" s="1"/>
  <c r="H80" i="24"/>
  <c r="C9" i="37" s="1"/>
  <c r="D9" i="37"/>
  <c r="L81" i="24"/>
  <c r="G10" i="37" s="1"/>
  <c r="H10" i="37"/>
  <c r="U81" i="24"/>
  <c r="Q10" i="37"/>
  <c r="Q81" i="24"/>
  <c r="M10" i="37"/>
  <c r="N80" i="24"/>
  <c r="I17" i="12"/>
  <c r="H29" i="24"/>
  <c r="H35" i="24"/>
  <c r="H37" i="24" s="1"/>
  <c r="H38" i="12"/>
  <c r="H35" i="12"/>
  <c r="H37" i="12" s="1"/>
  <c r="J85" i="23"/>
  <c r="AJ14" i="37" s="1"/>
  <c r="N85" i="23"/>
  <c r="AN14" i="37" s="1"/>
  <c r="U83" i="24"/>
  <c r="P12" i="37" s="1"/>
  <c r="T83" i="24"/>
  <c r="O12" i="37" s="1"/>
  <c r="L86" i="23"/>
  <c r="AL15" i="37" s="1"/>
  <c r="N38" i="12"/>
  <c r="L83" i="24"/>
  <c r="G12" i="37" s="1"/>
  <c r="I86" i="12"/>
  <c r="S15" i="37" s="1"/>
  <c r="O26" i="12"/>
  <c r="L86" i="24"/>
  <c r="G15" i="37" s="1"/>
  <c r="M85" i="19"/>
  <c r="BC14" i="37" s="1"/>
  <c r="H28" i="19"/>
  <c r="H36" i="19" s="1"/>
  <c r="T27" i="12"/>
  <c r="Z26" i="12"/>
  <c r="O85" i="22"/>
  <c r="BU14" i="37" s="1"/>
  <c r="N39" i="24"/>
  <c r="N39" i="12"/>
  <c r="H27" i="23"/>
  <c r="P83" i="23"/>
  <c r="AP12" i="37" s="1"/>
  <c r="I23" i="23"/>
  <c r="T83" i="23"/>
  <c r="AT12" i="37" s="1"/>
  <c r="U82" i="19"/>
  <c r="BK11" i="37" s="1"/>
  <c r="K81" i="12"/>
  <c r="U10" i="37" s="1"/>
  <c r="K43" i="12"/>
  <c r="Q23" i="12"/>
  <c r="W23" i="12"/>
  <c r="S81" i="12" s="1"/>
  <c r="AC10" i="37" s="1"/>
  <c r="AC23" i="12"/>
  <c r="W81" i="12" s="1"/>
  <c r="AG10" i="37" s="1"/>
  <c r="O28" i="24"/>
  <c r="H39" i="22"/>
  <c r="H36" i="22"/>
  <c r="I35" i="22"/>
  <c r="I38" i="22"/>
  <c r="I29" i="22"/>
  <c r="K85" i="23"/>
  <c r="AK14" i="37" s="1"/>
  <c r="M82" i="12"/>
  <c r="W11" i="37" s="1"/>
  <c r="U22" i="12"/>
  <c r="N27" i="24"/>
  <c r="P86" i="24"/>
  <c r="K15" i="37" s="1"/>
  <c r="N39" i="23"/>
  <c r="V85" i="24"/>
  <c r="Q14" i="37" s="1"/>
  <c r="U85" i="24"/>
  <c r="P14" i="37" s="1"/>
  <c r="AA28" i="12"/>
  <c r="N84" i="12"/>
  <c r="X13" i="37" s="1"/>
  <c r="R48" i="12"/>
  <c r="V24" i="12"/>
  <c r="R84" i="12" s="1"/>
  <c r="I27" i="24"/>
  <c r="I83" i="12"/>
  <c r="I43" i="12"/>
  <c r="I27" i="12"/>
  <c r="R85" i="22"/>
  <c r="BX14" i="37" s="1"/>
  <c r="W85" i="24"/>
  <c r="Q84" i="12"/>
  <c r="AA13" i="37" s="1"/>
  <c r="U28" i="12"/>
  <c r="O39" i="12"/>
  <c r="N81" i="19"/>
  <c r="R81" i="19"/>
  <c r="V81" i="19"/>
  <c r="N80" i="22"/>
  <c r="O27" i="22"/>
  <c r="H38" i="22"/>
  <c r="H29" i="22"/>
  <c r="H35" i="22"/>
  <c r="T27" i="22"/>
  <c r="U85" i="23"/>
  <c r="AU14" i="37" s="1"/>
  <c r="R85" i="23"/>
  <c r="AR14" i="37" s="1"/>
  <c r="N27" i="19"/>
  <c r="N35" i="19" s="1"/>
  <c r="H35" i="19"/>
  <c r="I38" i="19"/>
  <c r="O39" i="23"/>
  <c r="I36" i="23"/>
  <c r="I39" i="23"/>
  <c r="Q86" i="23" l="1"/>
  <c r="AQ15" i="37" s="1"/>
  <c r="M86" i="23"/>
  <c r="AM15" i="37" s="1"/>
  <c r="O80" i="19"/>
  <c r="BE9" i="37" s="1"/>
  <c r="V22" i="12"/>
  <c r="U28" i="23"/>
  <c r="U36" i="23" s="1"/>
  <c r="Q84" i="19"/>
  <c r="BG13" i="37" s="1"/>
  <c r="M85" i="22"/>
  <c r="BS14" i="37" s="1"/>
  <c r="O28" i="22"/>
  <c r="I36" i="22"/>
  <c r="I37" i="22" s="1"/>
  <c r="O27" i="12"/>
  <c r="O35" i="12" s="1"/>
  <c r="O37" i="12" s="1"/>
  <c r="M83" i="12"/>
  <c r="W12" i="37" s="1"/>
  <c r="Q85" i="22"/>
  <c r="BW14" i="37" s="1"/>
  <c r="I83" i="23"/>
  <c r="AI12" i="37" s="1"/>
  <c r="J23" i="23"/>
  <c r="N81" i="12"/>
  <c r="R47" i="12"/>
  <c r="J28" i="23"/>
  <c r="J39" i="23" s="1"/>
  <c r="J40" i="23" s="1"/>
  <c r="AZ9" i="37"/>
  <c r="I80" i="19"/>
  <c r="AB23" i="22"/>
  <c r="V81" i="22" s="1"/>
  <c r="U83" i="22"/>
  <c r="CA12" i="37" s="1"/>
  <c r="V23" i="22"/>
  <c r="R81" i="22" s="1"/>
  <c r="Q83" i="22"/>
  <c r="BW12" i="37" s="1"/>
  <c r="P23" i="22"/>
  <c r="N81" i="22" s="1"/>
  <c r="M83" i="22"/>
  <c r="BS12" i="37" s="1"/>
  <c r="BP9" i="37"/>
  <c r="I80" i="22"/>
  <c r="V24" i="22"/>
  <c r="W24" i="22" s="1"/>
  <c r="N84" i="22"/>
  <c r="BT13" i="37" s="1"/>
  <c r="BP10" i="37"/>
  <c r="I81" i="22"/>
  <c r="W23" i="22"/>
  <c r="S81" i="22" s="1"/>
  <c r="BY10" i="37" s="1"/>
  <c r="Q23" i="22"/>
  <c r="O81" i="22" s="1"/>
  <c r="BU10" i="37" s="1"/>
  <c r="AC23" i="22"/>
  <c r="W81" i="22" s="1"/>
  <c r="CC10" i="37" s="1"/>
  <c r="K81" i="22"/>
  <c r="BQ10" i="37" s="1"/>
  <c r="AJ9" i="37"/>
  <c r="I80" i="23"/>
  <c r="W22" i="23"/>
  <c r="O80" i="23"/>
  <c r="AO9" i="37" s="1"/>
  <c r="V24" i="23"/>
  <c r="R84" i="23" s="1"/>
  <c r="AR13" i="37" s="1"/>
  <c r="W24" i="23"/>
  <c r="S84" i="23" s="1"/>
  <c r="AS13" i="37" s="1"/>
  <c r="N84" i="23"/>
  <c r="AN13" i="37" s="1"/>
  <c r="V24" i="24"/>
  <c r="R84" i="24" s="1"/>
  <c r="M13" i="37" s="1"/>
  <c r="W24" i="24"/>
  <c r="S84" i="24" s="1"/>
  <c r="N13" i="37" s="1"/>
  <c r="N84" i="24"/>
  <c r="I13" i="37" s="1"/>
  <c r="K23" i="19"/>
  <c r="J81" i="19"/>
  <c r="AF10" i="37"/>
  <c r="U81" i="12"/>
  <c r="K23" i="24"/>
  <c r="J81" i="24"/>
  <c r="AB10" i="37"/>
  <c r="Q81" i="12"/>
  <c r="AN10" i="37"/>
  <c r="M81" i="23"/>
  <c r="AR10" i="37"/>
  <c r="Q81" i="23"/>
  <c r="U81" i="23"/>
  <c r="AV10" i="37"/>
  <c r="R85" i="12"/>
  <c r="AB14" i="37" s="1"/>
  <c r="AB25" i="12"/>
  <c r="V85" i="12" s="1"/>
  <c r="AF14" i="37" s="1"/>
  <c r="K26" i="12"/>
  <c r="J86" i="12"/>
  <c r="T15" i="37" s="1"/>
  <c r="P26" i="12"/>
  <c r="P28" i="12" s="1"/>
  <c r="J28" i="12"/>
  <c r="J39" i="12" s="1"/>
  <c r="J40" i="12" s="1"/>
  <c r="J46" i="12"/>
  <c r="AB13" i="37"/>
  <c r="P26" i="24"/>
  <c r="P28" i="24" s="1"/>
  <c r="P36" i="24" s="1"/>
  <c r="P37" i="24" s="1"/>
  <c r="K26" i="24"/>
  <c r="J86" i="24"/>
  <c r="E15" i="37" s="1"/>
  <c r="J28" i="24"/>
  <c r="K26" i="23"/>
  <c r="P26" i="23"/>
  <c r="J86" i="23"/>
  <c r="AJ15" i="37" s="1"/>
  <c r="K26" i="22"/>
  <c r="P26" i="22"/>
  <c r="J86" i="22"/>
  <c r="BP15" i="37" s="1"/>
  <c r="J28" i="22"/>
  <c r="J39" i="22" s="1"/>
  <c r="J40" i="22" s="1"/>
  <c r="K26" i="19"/>
  <c r="P26" i="19"/>
  <c r="J86" i="19"/>
  <c r="AZ15" i="37" s="1"/>
  <c r="U26" i="19"/>
  <c r="U27" i="19" s="1"/>
  <c r="U35" i="19" s="1"/>
  <c r="M86" i="19"/>
  <c r="BC15" i="37" s="1"/>
  <c r="N29" i="22"/>
  <c r="J36" i="23"/>
  <c r="J37" i="23" s="1"/>
  <c r="J28" i="19"/>
  <c r="J29" i="19" s="1"/>
  <c r="N85" i="19"/>
  <c r="BD14" i="37" s="1"/>
  <c r="J85" i="19"/>
  <c r="AZ14" i="37" s="1"/>
  <c r="K85" i="19"/>
  <c r="BA14" i="37" s="1"/>
  <c r="O85" i="19"/>
  <c r="BE14" i="37" s="1"/>
  <c r="N38" i="22"/>
  <c r="O17" i="12"/>
  <c r="N35" i="12"/>
  <c r="N37" i="12" s="1"/>
  <c r="O51" i="12"/>
  <c r="N29" i="12"/>
  <c r="O53" i="12" s="1"/>
  <c r="Q86" i="22"/>
  <c r="BW15" i="37" s="1"/>
  <c r="N40" i="12"/>
  <c r="BC9" i="37"/>
  <c r="L80" i="19"/>
  <c r="BB9" i="37" s="1"/>
  <c r="T86" i="22"/>
  <c r="BZ15" i="37" s="1"/>
  <c r="P86" i="22"/>
  <c r="BV15" i="37" s="1"/>
  <c r="V80" i="19"/>
  <c r="R80" i="19"/>
  <c r="T28" i="22"/>
  <c r="L85" i="22"/>
  <c r="BR14" i="37" s="1"/>
  <c r="I29" i="19"/>
  <c r="Q84" i="22"/>
  <c r="BW13" i="37" s="1"/>
  <c r="BT9" i="37"/>
  <c r="M80" i="22"/>
  <c r="T84" i="22"/>
  <c r="BZ13" i="37" s="1"/>
  <c r="O80" i="24"/>
  <c r="J9" i="37" s="1"/>
  <c r="U81" i="19"/>
  <c r="BL10" i="37"/>
  <c r="BH10" i="37"/>
  <c r="Q81" i="19"/>
  <c r="BD10" i="37"/>
  <c r="M81" i="19"/>
  <c r="P85" i="19"/>
  <c r="BF14" i="37" s="1"/>
  <c r="N28" i="19"/>
  <c r="N29" i="19" s="1"/>
  <c r="L85" i="19"/>
  <c r="BB14" i="37" s="1"/>
  <c r="T27" i="19"/>
  <c r="T35" i="19" s="1"/>
  <c r="P81" i="24"/>
  <c r="K10" i="37" s="1"/>
  <c r="L10" i="37"/>
  <c r="S80" i="24"/>
  <c r="N9" i="37" s="1"/>
  <c r="Q82" i="24"/>
  <c r="L11" i="37" s="1"/>
  <c r="Q84" i="24"/>
  <c r="L13" i="37" s="1"/>
  <c r="J29" i="23"/>
  <c r="U82" i="24"/>
  <c r="P11" i="37" s="1"/>
  <c r="T81" i="24"/>
  <c r="O10" i="37" s="1"/>
  <c r="P10" i="37"/>
  <c r="M80" i="24"/>
  <c r="I9" i="37"/>
  <c r="T86" i="23"/>
  <c r="AT15" i="37" s="1"/>
  <c r="P86" i="23"/>
  <c r="AP15" i="37" s="1"/>
  <c r="L83" i="23"/>
  <c r="AL12" i="37" s="1"/>
  <c r="O85" i="23"/>
  <c r="AO14" i="37" s="1"/>
  <c r="M86" i="24"/>
  <c r="H15" i="37" s="1"/>
  <c r="S12" i="37"/>
  <c r="Z27" i="12"/>
  <c r="Z38" i="12" s="1"/>
  <c r="Z40" i="12" s="1"/>
  <c r="T86" i="12"/>
  <c r="AD15" i="37" s="1"/>
  <c r="M86" i="12"/>
  <c r="W15" i="37" s="1"/>
  <c r="U26" i="12"/>
  <c r="M83" i="24"/>
  <c r="H12" i="37" s="1"/>
  <c r="Q85" i="19"/>
  <c r="BG14" i="37" s="1"/>
  <c r="O28" i="19"/>
  <c r="O36" i="19" s="1"/>
  <c r="T28" i="19"/>
  <c r="T39" i="19" s="1"/>
  <c r="H29" i="19"/>
  <c r="H37" i="19"/>
  <c r="U86" i="22"/>
  <c r="CA15" i="37" s="1"/>
  <c r="S85" i="22"/>
  <c r="BY14" i="37" s="1"/>
  <c r="I40" i="22"/>
  <c r="T29" i="12"/>
  <c r="T35" i="12"/>
  <c r="T37" i="12" s="1"/>
  <c r="T38" i="12"/>
  <c r="H40" i="22"/>
  <c r="H37" i="22"/>
  <c r="I39" i="19"/>
  <c r="I40" i="19" s="1"/>
  <c r="S80" i="19"/>
  <c r="BI9" i="37" s="1"/>
  <c r="U36" i="12"/>
  <c r="AA36" i="12"/>
  <c r="AA39" i="12"/>
  <c r="T27" i="24"/>
  <c r="N80" i="12"/>
  <c r="X9" i="37" s="1"/>
  <c r="Q22" i="12"/>
  <c r="R46" i="12"/>
  <c r="Q83" i="23"/>
  <c r="AQ12" i="37" s="1"/>
  <c r="T27" i="23"/>
  <c r="I39" i="24"/>
  <c r="U39" i="12"/>
  <c r="H39" i="12"/>
  <c r="H40" i="12" s="1"/>
  <c r="I39" i="12"/>
  <c r="H39" i="19"/>
  <c r="H40" i="19" s="1"/>
  <c r="H39" i="24"/>
  <c r="H40" i="24" s="1"/>
  <c r="H39" i="23"/>
  <c r="I29" i="12"/>
  <c r="I38" i="12"/>
  <c r="I35" i="12"/>
  <c r="I37" i="12" s="1"/>
  <c r="Q86" i="24"/>
  <c r="L15" i="37" s="1"/>
  <c r="O27" i="24"/>
  <c r="W24" i="12"/>
  <c r="S84" i="12" s="1"/>
  <c r="AC13" i="37" s="1"/>
  <c r="AA28" i="24"/>
  <c r="N38" i="24"/>
  <c r="N40" i="24" s="1"/>
  <c r="N35" i="24"/>
  <c r="N37" i="24" s="1"/>
  <c r="N29" i="24"/>
  <c r="U28" i="24"/>
  <c r="O81" i="12"/>
  <c r="Y10" i="37" s="1"/>
  <c r="S47" i="12"/>
  <c r="T36" i="22"/>
  <c r="T39" i="22"/>
  <c r="U83" i="23"/>
  <c r="AU12" i="37" s="1"/>
  <c r="H38" i="23"/>
  <c r="H35" i="23"/>
  <c r="H37" i="23" s="1"/>
  <c r="H29" i="23"/>
  <c r="R84" i="19"/>
  <c r="BH13" i="37" s="1"/>
  <c r="I35" i="24"/>
  <c r="I37" i="24" s="1"/>
  <c r="I38" i="24"/>
  <c r="I29" i="24"/>
  <c r="O38" i="12"/>
  <c r="O40" i="12" s="1"/>
  <c r="O39" i="24"/>
  <c r="O36" i="24"/>
  <c r="I27" i="23"/>
  <c r="O39" i="22"/>
  <c r="O36" i="22"/>
  <c r="U85" i="22"/>
  <c r="CA14" i="37" s="1"/>
  <c r="V85" i="22"/>
  <c r="CB14" i="37" s="1"/>
  <c r="U86" i="23"/>
  <c r="AU15" i="37" s="1"/>
  <c r="Q82" i="12"/>
  <c r="AA11" i="37" s="1"/>
  <c r="U27" i="12"/>
  <c r="AA22" i="12"/>
  <c r="N27" i="23"/>
  <c r="O35" i="19"/>
  <c r="S85" i="23"/>
  <c r="AS14" i="37" s="1"/>
  <c r="S85" i="19"/>
  <c r="BI14" i="37" s="1"/>
  <c r="T35" i="22"/>
  <c r="T29" i="22"/>
  <c r="T38" i="22"/>
  <c r="O38" i="22"/>
  <c r="O35" i="22"/>
  <c r="O29" i="22"/>
  <c r="L11" i="17" s="1"/>
  <c r="N39" i="22"/>
  <c r="N36" i="22"/>
  <c r="N37" i="22" s="1"/>
  <c r="U27" i="22"/>
  <c r="U84" i="22"/>
  <c r="CA13" i="37" s="1"/>
  <c r="U28" i="22"/>
  <c r="O80" i="22"/>
  <c r="BU9" i="37" s="1"/>
  <c r="R80" i="22"/>
  <c r="AA28" i="23"/>
  <c r="V85" i="23"/>
  <c r="AV14" i="37" s="1"/>
  <c r="N38" i="19"/>
  <c r="U39" i="23"/>
  <c r="T36" i="19"/>
  <c r="K94" i="44" l="1"/>
  <c r="M95" i="44"/>
  <c r="U17" i="12"/>
  <c r="M94" i="44"/>
  <c r="N40" i="22"/>
  <c r="AB22" i="12"/>
  <c r="O29" i="12"/>
  <c r="K28" i="19"/>
  <c r="K36" i="19" s="1"/>
  <c r="K37" i="19" s="1"/>
  <c r="Z29" i="12"/>
  <c r="Z35" i="12"/>
  <c r="Z37" i="12" s="1"/>
  <c r="T81" i="23"/>
  <c r="AT10" i="37" s="1"/>
  <c r="AU10" i="37"/>
  <c r="AQ10" i="37"/>
  <c r="P81" i="23"/>
  <c r="AP10" i="37" s="1"/>
  <c r="AM10" i="37"/>
  <c r="L81" i="23"/>
  <c r="AL10" i="37" s="1"/>
  <c r="AA10" i="37"/>
  <c r="P81" i="12"/>
  <c r="Z10" i="37" s="1"/>
  <c r="I81" i="24"/>
  <c r="E10" i="37"/>
  <c r="AC23" i="24"/>
  <c r="W81" i="24" s="1"/>
  <c r="Q23" i="24"/>
  <c r="O81" i="24" s="1"/>
  <c r="J10" i="37" s="1"/>
  <c r="W23" i="24"/>
  <c r="S81" i="24" s="1"/>
  <c r="N10" i="37" s="1"/>
  <c r="K81" i="24"/>
  <c r="F10" i="37" s="1"/>
  <c r="AE10" i="37"/>
  <c r="T81" i="12"/>
  <c r="AD10" i="37" s="1"/>
  <c r="AZ10" i="37"/>
  <c r="I81" i="19"/>
  <c r="W23" i="19"/>
  <c r="S81" i="19" s="1"/>
  <c r="BI10" i="37" s="1"/>
  <c r="Q23" i="19"/>
  <c r="O81" i="19" s="1"/>
  <c r="BE10" i="37" s="1"/>
  <c r="AC23" i="19"/>
  <c r="W81" i="19" s="1"/>
  <c r="BM10" i="37" s="1"/>
  <c r="K81" i="19"/>
  <c r="BA10" i="37" s="1"/>
  <c r="AC22" i="23"/>
  <c r="W80" i="23" s="1"/>
  <c r="AW9" i="37" s="1"/>
  <c r="S80" i="23"/>
  <c r="AS9" i="37" s="1"/>
  <c r="AI9" i="37"/>
  <c r="H80" i="23"/>
  <c r="AH9" i="37" s="1"/>
  <c r="BO10" i="37"/>
  <c r="H81" i="22"/>
  <c r="BN10" i="37" s="1"/>
  <c r="BO9" i="37"/>
  <c r="H80" i="22"/>
  <c r="BN9" i="37" s="1"/>
  <c r="BT10" i="37"/>
  <c r="M81" i="22"/>
  <c r="BX10" i="37"/>
  <c r="Q81" i="22"/>
  <c r="U81" i="22"/>
  <c r="CB10" i="37"/>
  <c r="AY9" i="37"/>
  <c r="H80" i="19"/>
  <c r="AX9" i="37" s="1"/>
  <c r="X10" i="37"/>
  <c r="M81" i="12"/>
  <c r="K23" i="23"/>
  <c r="J81" i="23"/>
  <c r="J39" i="19"/>
  <c r="J40" i="19" s="1"/>
  <c r="J36" i="19"/>
  <c r="J37" i="19" s="1"/>
  <c r="P39" i="24"/>
  <c r="P40" i="24" s="1"/>
  <c r="J29" i="12"/>
  <c r="J36" i="12"/>
  <c r="J37" i="12" s="1"/>
  <c r="Q26" i="22"/>
  <c r="Q28" i="22" s="1"/>
  <c r="K86" i="22"/>
  <c r="BQ15" i="37" s="1"/>
  <c r="K28" i="22"/>
  <c r="V26" i="23"/>
  <c r="N86" i="23"/>
  <c r="AN15" i="37" s="1"/>
  <c r="P28" i="23"/>
  <c r="Q26" i="24"/>
  <c r="K86" i="24"/>
  <c r="F15" i="37" s="1"/>
  <c r="K28" i="24"/>
  <c r="N86" i="12"/>
  <c r="X15" i="37" s="1"/>
  <c r="V26" i="12"/>
  <c r="V28" i="12" s="1"/>
  <c r="R50" i="12"/>
  <c r="V26" i="22"/>
  <c r="N86" i="22"/>
  <c r="BT15" i="37" s="1"/>
  <c r="J36" i="22"/>
  <c r="J37" i="22" s="1"/>
  <c r="J29" i="22"/>
  <c r="Q26" i="23"/>
  <c r="K86" i="23"/>
  <c r="AK15" i="37" s="1"/>
  <c r="V26" i="24"/>
  <c r="N86" i="24"/>
  <c r="I15" i="37" s="1"/>
  <c r="P28" i="22"/>
  <c r="P39" i="22" s="1"/>
  <c r="P40" i="22" s="1"/>
  <c r="J36" i="24"/>
  <c r="J37" i="24" s="1"/>
  <c r="J29" i="24"/>
  <c r="J39" i="24"/>
  <c r="J40" i="24" s="1"/>
  <c r="K86" i="12"/>
  <c r="U15" i="37" s="1"/>
  <c r="Q26" i="12"/>
  <c r="Q28" i="12" s="1"/>
  <c r="K46" i="12"/>
  <c r="K28" i="12"/>
  <c r="Q26" i="19"/>
  <c r="K86" i="19"/>
  <c r="BA15" i="37" s="1"/>
  <c r="AA26" i="19"/>
  <c r="U86" i="19" s="1"/>
  <c r="BK15" i="37" s="1"/>
  <c r="Q86" i="19"/>
  <c r="BG15" i="37" s="1"/>
  <c r="V26" i="19"/>
  <c r="V28" i="19" s="1"/>
  <c r="N86" i="19"/>
  <c r="BD15" i="37" s="1"/>
  <c r="T40" i="22"/>
  <c r="P29" i="24"/>
  <c r="M4" i="17" s="1"/>
  <c r="M5" i="17" s="1"/>
  <c r="P28" i="19"/>
  <c r="P36" i="19" s="1"/>
  <c r="P37" i="19" s="1"/>
  <c r="R85" i="19"/>
  <c r="BH14" i="37" s="1"/>
  <c r="T37" i="19"/>
  <c r="W80" i="19"/>
  <c r="BM9" i="37" s="1"/>
  <c r="T29" i="19"/>
  <c r="Z27" i="22"/>
  <c r="Z27" i="23"/>
  <c r="Z35" i="23" s="1"/>
  <c r="Z37" i="23" s="1"/>
  <c r="BX9" i="37"/>
  <c r="Q80" i="22"/>
  <c r="BS9" i="37"/>
  <c r="L80" i="22"/>
  <c r="BR9" i="37" s="1"/>
  <c r="BH9" i="37"/>
  <c r="Q80" i="19"/>
  <c r="P85" i="22"/>
  <c r="BV14" i="37" s="1"/>
  <c r="O37" i="19"/>
  <c r="R84" i="22"/>
  <c r="BX13" i="37" s="1"/>
  <c r="BL9" i="37"/>
  <c r="U80" i="19"/>
  <c r="Z28" i="19"/>
  <c r="T85" i="19"/>
  <c r="BJ14" i="37" s="1"/>
  <c r="BC10" i="37"/>
  <c r="L81" i="19"/>
  <c r="BB10" i="37" s="1"/>
  <c r="BG10" i="37"/>
  <c r="P81" i="19"/>
  <c r="BF10" i="37" s="1"/>
  <c r="N36" i="19"/>
  <c r="N37" i="19" s="1"/>
  <c r="N39" i="19"/>
  <c r="N40" i="19" s="1"/>
  <c r="T81" i="19"/>
  <c r="BJ10" i="37" s="1"/>
  <c r="BK10" i="37"/>
  <c r="T38" i="19"/>
  <c r="T40" i="19" s="1"/>
  <c r="Z27" i="19"/>
  <c r="T86" i="19"/>
  <c r="BJ15" i="37" s="1"/>
  <c r="H9" i="37"/>
  <c r="L80" i="24"/>
  <c r="G9" i="37" s="1"/>
  <c r="R80" i="24"/>
  <c r="Z27" i="24"/>
  <c r="Z35" i="24" s="1"/>
  <c r="Z37" i="24" s="1"/>
  <c r="T86" i="24"/>
  <c r="O15" i="37" s="1"/>
  <c r="M83" i="23"/>
  <c r="AM12" i="37" s="1"/>
  <c r="Q86" i="12"/>
  <c r="AA15" i="37" s="1"/>
  <c r="AA26" i="12"/>
  <c r="U86" i="12" s="1"/>
  <c r="AE15" i="37" s="1"/>
  <c r="O39" i="19"/>
  <c r="O40" i="19" s="1"/>
  <c r="O29" i="19"/>
  <c r="L10" i="17" s="1"/>
  <c r="U28" i="19"/>
  <c r="U39" i="19" s="1"/>
  <c r="U85" i="19"/>
  <c r="BK14" i="37" s="1"/>
  <c r="W85" i="22"/>
  <c r="CC14" i="37" s="1"/>
  <c r="O40" i="22"/>
  <c r="O37" i="22"/>
  <c r="T37" i="22"/>
  <c r="AA28" i="22"/>
  <c r="AA36" i="22" s="1"/>
  <c r="AA27" i="22"/>
  <c r="AA38" i="22" s="1"/>
  <c r="N29" i="23"/>
  <c r="N38" i="23"/>
  <c r="N40" i="23" s="1"/>
  <c r="N35" i="23"/>
  <c r="N37" i="23" s="1"/>
  <c r="H40" i="23"/>
  <c r="I40" i="12"/>
  <c r="I40" i="24"/>
  <c r="O80" i="12"/>
  <c r="Y9" i="37" s="1"/>
  <c r="S46" i="12"/>
  <c r="W22" i="12"/>
  <c r="O27" i="23"/>
  <c r="U82" i="12"/>
  <c r="AE11" i="37" s="1"/>
  <c r="AA27" i="12"/>
  <c r="T29" i="23"/>
  <c r="T35" i="23"/>
  <c r="T37" i="23" s="1"/>
  <c r="T38" i="23"/>
  <c r="R80" i="12"/>
  <c r="AB9" i="37" s="1"/>
  <c r="M80" i="12"/>
  <c r="U38" i="12"/>
  <c r="U40" i="12" s="1"/>
  <c r="U35" i="12"/>
  <c r="U37" i="12" s="1"/>
  <c r="U29" i="12"/>
  <c r="Z38" i="23"/>
  <c r="Z40" i="23" s="1"/>
  <c r="Z29" i="23"/>
  <c r="U36" i="24"/>
  <c r="U39" i="24"/>
  <c r="O35" i="24"/>
  <c r="O37" i="24" s="1"/>
  <c r="O29" i="24"/>
  <c r="L4" i="17" s="1"/>
  <c r="L5" i="17" s="1"/>
  <c r="O38" i="24"/>
  <c r="O40" i="24" s="1"/>
  <c r="U27" i="23"/>
  <c r="T38" i="24"/>
  <c r="T35" i="24"/>
  <c r="T37" i="24" s="1"/>
  <c r="T29" i="24"/>
  <c r="I38" i="23"/>
  <c r="I40" i="23" s="1"/>
  <c r="I35" i="23"/>
  <c r="I37" i="23" s="1"/>
  <c r="I29" i="23"/>
  <c r="S84" i="19"/>
  <c r="BI13" i="37" s="1"/>
  <c r="AA27" i="23"/>
  <c r="AA29" i="23" s="1"/>
  <c r="AA39" i="24"/>
  <c r="AA36" i="24"/>
  <c r="U27" i="24"/>
  <c r="U86" i="24"/>
  <c r="P15" i="37" s="1"/>
  <c r="T39" i="24"/>
  <c r="T39" i="12"/>
  <c r="T40" i="12" s="1"/>
  <c r="T39" i="23"/>
  <c r="R52" i="12"/>
  <c r="P29" i="12"/>
  <c r="R53" i="12" s="1"/>
  <c r="P39" i="12"/>
  <c r="P40" i="12" s="1"/>
  <c r="P36" i="12"/>
  <c r="P37" i="12" s="1"/>
  <c r="U38" i="19"/>
  <c r="V85" i="19"/>
  <c r="BL14" i="37" s="1"/>
  <c r="W85" i="19"/>
  <c r="BM14" i="37" s="1"/>
  <c r="S84" i="22"/>
  <c r="BY13" i="37" s="1"/>
  <c r="V84" i="22"/>
  <c r="CB13" i="37" s="1"/>
  <c r="V28" i="22"/>
  <c r="V80" i="22"/>
  <c r="S80" i="22"/>
  <c r="BY9" i="37" s="1"/>
  <c r="U36" i="22"/>
  <c r="U39" i="22"/>
  <c r="U35" i="22"/>
  <c r="U38" i="22"/>
  <c r="U29" i="22"/>
  <c r="W85" i="23"/>
  <c r="AW14" i="37" s="1"/>
  <c r="AA36" i="23"/>
  <c r="AA39" i="23"/>
  <c r="K95" i="44" l="1"/>
  <c r="M96" i="44"/>
  <c r="AA17" i="12"/>
  <c r="I94" i="44"/>
  <c r="I95" i="44"/>
  <c r="AA39" i="22"/>
  <c r="Q28" i="19"/>
  <c r="Q39" i="19" s="1"/>
  <c r="Q40" i="19" s="1"/>
  <c r="K29" i="19"/>
  <c r="K39" i="19"/>
  <c r="K40" i="19" s="1"/>
  <c r="AA27" i="19"/>
  <c r="AA38" i="19" s="1"/>
  <c r="AJ10" i="37"/>
  <c r="I81" i="23"/>
  <c r="Q23" i="23"/>
  <c r="O81" i="23" s="1"/>
  <c r="AO10" i="37" s="1"/>
  <c r="AC23" i="23"/>
  <c r="W81" i="23" s="1"/>
  <c r="AW10" i="37" s="1"/>
  <c r="W23" i="23"/>
  <c r="S81" i="23" s="1"/>
  <c r="AS10" i="37" s="1"/>
  <c r="K81" i="23"/>
  <c r="AK10" i="37" s="1"/>
  <c r="K28" i="23"/>
  <c r="W10" i="37"/>
  <c r="L81" i="12"/>
  <c r="V10" i="37" s="1"/>
  <c r="T81" i="22"/>
  <c r="BZ10" i="37" s="1"/>
  <c r="CA10" i="37"/>
  <c r="BW10" i="37"/>
  <c r="P81" i="22"/>
  <c r="BV10" i="37" s="1"/>
  <c r="BS10" i="37"/>
  <c r="L81" i="22"/>
  <c r="BR10" i="37" s="1"/>
  <c r="AY10" i="37"/>
  <c r="H81" i="19"/>
  <c r="AX10" i="37" s="1"/>
  <c r="H81" i="24"/>
  <c r="C10" i="37" s="1"/>
  <c r="D10" i="37"/>
  <c r="P29" i="22"/>
  <c r="M11" i="17" s="1"/>
  <c r="P36" i="22"/>
  <c r="P37" i="22" s="1"/>
  <c r="AB26" i="24"/>
  <c r="V86" i="24" s="1"/>
  <c r="Q15" i="37" s="1"/>
  <c r="R86" i="24"/>
  <c r="M15" i="37" s="1"/>
  <c r="O86" i="12"/>
  <c r="Y15" i="37" s="1"/>
  <c r="W26" i="12"/>
  <c r="S50" i="12"/>
  <c r="P39" i="23"/>
  <c r="P40" i="23" s="1"/>
  <c r="P36" i="23"/>
  <c r="P37" i="23" s="1"/>
  <c r="P29" i="23"/>
  <c r="V28" i="24"/>
  <c r="V36" i="24" s="1"/>
  <c r="V37" i="24" s="1"/>
  <c r="W26" i="23"/>
  <c r="O86" i="23"/>
  <c r="AO15" i="37" s="1"/>
  <c r="AB26" i="22"/>
  <c r="V86" i="22" s="1"/>
  <c r="CB15" i="37" s="1"/>
  <c r="R86" i="22"/>
  <c r="BX15" i="37" s="1"/>
  <c r="K29" i="24"/>
  <c r="K36" i="24"/>
  <c r="K37" i="24" s="1"/>
  <c r="K39" i="24"/>
  <c r="K40" i="24" s="1"/>
  <c r="W26" i="22"/>
  <c r="W28" i="22" s="1"/>
  <c r="O86" i="22"/>
  <c r="BU15" i="37" s="1"/>
  <c r="K29" i="12"/>
  <c r="K39" i="12"/>
  <c r="K40" i="12" s="1"/>
  <c r="K36" i="12"/>
  <c r="K37" i="12" s="1"/>
  <c r="AB26" i="23"/>
  <c r="R86" i="23"/>
  <c r="AR15" i="37" s="1"/>
  <c r="V28" i="23"/>
  <c r="R86" i="12"/>
  <c r="AB15" i="37" s="1"/>
  <c r="AB26" i="12"/>
  <c r="V86" i="12" s="1"/>
  <c r="AF15" i="37" s="1"/>
  <c r="W26" i="24"/>
  <c r="O86" i="24"/>
  <c r="J15" i="37" s="1"/>
  <c r="Q28" i="24"/>
  <c r="K39" i="22"/>
  <c r="K40" i="22" s="1"/>
  <c r="K36" i="22"/>
  <c r="K37" i="22" s="1"/>
  <c r="K29" i="22"/>
  <c r="AB26" i="19"/>
  <c r="V86" i="19" s="1"/>
  <c r="BL15" i="37" s="1"/>
  <c r="R86" i="19"/>
  <c r="BH15" i="37" s="1"/>
  <c r="W26" i="19"/>
  <c r="W28" i="19" s="1"/>
  <c r="O86" i="19"/>
  <c r="BE15" i="37" s="1"/>
  <c r="P39" i="19"/>
  <c r="P40" i="19" s="1"/>
  <c r="P29" i="19"/>
  <c r="M10" i="17" s="1"/>
  <c r="W9" i="37"/>
  <c r="L80" i="12"/>
  <c r="V9" i="37" s="1"/>
  <c r="T85" i="22"/>
  <c r="BZ14" i="37" s="1"/>
  <c r="Z28" i="22"/>
  <c r="Z29" i="22" s="1"/>
  <c r="Z38" i="24"/>
  <c r="Z40" i="24" s="1"/>
  <c r="Z29" i="24"/>
  <c r="Z38" i="22"/>
  <c r="Z35" i="22"/>
  <c r="U29" i="19"/>
  <c r="CB9" i="37"/>
  <c r="U80" i="22"/>
  <c r="BK9" i="37"/>
  <c r="T80" i="19"/>
  <c r="BJ9" i="37" s="1"/>
  <c r="BG9" i="37"/>
  <c r="P80" i="19"/>
  <c r="BF9" i="37" s="1"/>
  <c r="BW9" i="37"/>
  <c r="P80" i="22"/>
  <c r="BV9" i="37" s="1"/>
  <c r="AA35" i="22"/>
  <c r="AA37" i="22" s="1"/>
  <c r="U40" i="19"/>
  <c r="U36" i="19"/>
  <c r="U37" i="19" s="1"/>
  <c r="AA28" i="19"/>
  <c r="AA39" i="19" s="1"/>
  <c r="Z39" i="19"/>
  <c r="Z36" i="19"/>
  <c r="Z38" i="19"/>
  <c r="Z29" i="19"/>
  <c r="Z35" i="19"/>
  <c r="Q80" i="24"/>
  <c r="M9" i="37"/>
  <c r="V80" i="24"/>
  <c r="T40" i="24"/>
  <c r="AA29" i="22"/>
  <c r="U38" i="23"/>
  <c r="U40" i="23" s="1"/>
  <c r="U35" i="23"/>
  <c r="U37" i="23" s="1"/>
  <c r="U29" i="23"/>
  <c r="L3" i="17" s="1"/>
  <c r="T40" i="23"/>
  <c r="O38" i="23"/>
  <c r="O40" i="23" s="1"/>
  <c r="O35" i="23"/>
  <c r="O37" i="23" s="1"/>
  <c r="O29" i="23"/>
  <c r="AA27" i="24"/>
  <c r="V36" i="12"/>
  <c r="V37" i="12" s="1"/>
  <c r="V39" i="12"/>
  <c r="V40" i="12" s="1"/>
  <c r="V29" i="12"/>
  <c r="AA35" i="12"/>
  <c r="AA37" i="12" s="1"/>
  <c r="AA38" i="12"/>
  <c r="AA40" i="12" s="1"/>
  <c r="AA29" i="12"/>
  <c r="S80" i="12"/>
  <c r="AC9" i="37" s="1"/>
  <c r="AC22" i="12"/>
  <c r="U29" i="24"/>
  <c r="U38" i="24"/>
  <c r="U40" i="24" s="1"/>
  <c r="U35" i="24"/>
  <c r="U37" i="24" s="1"/>
  <c r="V80" i="12"/>
  <c r="AF9" i="37" s="1"/>
  <c r="AA38" i="23"/>
  <c r="AA40" i="23" s="1"/>
  <c r="AA35" i="23"/>
  <c r="AA37" i="23" s="1"/>
  <c r="Q80" i="12"/>
  <c r="S52" i="12"/>
  <c r="Q29" i="12"/>
  <c r="S53" i="12" s="1"/>
  <c r="Q36" i="12"/>
  <c r="Q37" i="12" s="1"/>
  <c r="Q39" i="12"/>
  <c r="Q40" i="12" s="1"/>
  <c r="V29" i="19"/>
  <c r="V36" i="19"/>
  <c r="V37" i="19" s="1"/>
  <c r="V39" i="19"/>
  <c r="V40" i="19" s="1"/>
  <c r="W80" i="22"/>
  <c r="CC9" i="37" s="1"/>
  <c r="U40" i="22"/>
  <c r="V39" i="22"/>
  <c r="V40" i="22" s="1"/>
  <c r="V36" i="22"/>
  <c r="V37" i="22" s="1"/>
  <c r="V29" i="22"/>
  <c r="U37" i="22"/>
  <c r="Q39" i="22"/>
  <c r="Q40" i="22" s="1"/>
  <c r="Q29" i="22"/>
  <c r="N11" i="17" s="1"/>
  <c r="Q36" i="22"/>
  <c r="Q37" i="22" s="1"/>
  <c r="W84" i="22"/>
  <c r="CC13" i="37" s="1"/>
  <c r="AA40" i="22"/>
  <c r="K96" i="44" l="1"/>
  <c r="O95" i="44"/>
  <c r="I96" i="44"/>
  <c r="O96" i="44"/>
  <c r="AA35" i="19"/>
  <c r="Q36" i="19"/>
  <c r="Q37" i="19" s="1"/>
  <c r="Q29" i="19"/>
  <c r="N10" i="17" s="1"/>
  <c r="Q28" i="23"/>
  <c r="Q36" i="23" s="1"/>
  <c r="Q37" i="23" s="1"/>
  <c r="K29" i="23"/>
  <c r="K39" i="23"/>
  <c r="K40" i="23" s="1"/>
  <c r="K36" i="23"/>
  <c r="K37" i="23" s="1"/>
  <c r="AI10" i="37"/>
  <c r="H81" i="23"/>
  <c r="AH10" i="37" s="1"/>
  <c r="V29" i="24"/>
  <c r="V39" i="24"/>
  <c r="V40" i="24" s="1"/>
  <c r="AB28" i="24"/>
  <c r="AB36" i="24" s="1"/>
  <c r="AB37" i="24" s="1"/>
  <c r="AB28" i="22"/>
  <c r="AB36" i="22" s="1"/>
  <c r="AB37" i="22" s="1"/>
  <c r="AB28" i="19"/>
  <c r="AB29" i="19" s="1"/>
  <c r="AB28" i="12"/>
  <c r="AB39" i="12" s="1"/>
  <c r="AB40" i="12" s="1"/>
  <c r="Q36" i="24"/>
  <c r="Q37" i="24" s="1"/>
  <c r="Q29" i="24"/>
  <c r="N4" i="17" s="1"/>
  <c r="N5" i="17" s="1"/>
  <c r="Q39" i="24"/>
  <c r="Q40" i="24" s="1"/>
  <c r="S86" i="12"/>
  <c r="AC15" i="37" s="1"/>
  <c r="AC26" i="12"/>
  <c r="W86" i="12" s="1"/>
  <c r="AG15" i="37" s="1"/>
  <c r="W28" i="12"/>
  <c r="W39" i="12" s="1"/>
  <c r="W40" i="12" s="1"/>
  <c r="V36" i="23"/>
  <c r="V37" i="23" s="1"/>
  <c r="V39" i="23"/>
  <c r="V40" i="23" s="1"/>
  <c r="V29" i="23"/>
  <c r="M3" i="17" s="1"/>
  <c r="AC26" i="22"/>
  <c r="W86" i="22" s="1"/>
  <c r="CC15" i="37" s="1"/>
  <c r="S86" i="22"/>
  <c r="BY15" i="37" s="1"/>
  <c r="AC26" i="23"/>
  <c r="S86" i="23"/>
  <c r="AS15" i="37" s="1"/>
  <c r="W28" i="23"/>
  <c r="V86" i="23"/>
  <c r="AV15" i="37" s="1"/>
  <c r="AB28" i="23"/>
  <c r="AC26" i="24"/>
  <c r="W86" i="24" s="1"/>
  <c r="S86" i="24"/>
  <c r="N15" i="37" s="1"/>
  <c r="W28" i="24"/>
  <c r="AC26" i="19"/>
  <c r="S86" i="19"/>
  <c r="BI15" i="37" s="1"/>
  <c r="AA9" i="37"/>
  <c r="P80" i="12"/>
  <c r="Z9" i="37" s="1"/>
  <c r="Z39" i="22"/>
  <c r="Z40" i="22" s="1"/>
  <c r="Z36" i="22"/>
  <c r="Z37" i="22" s="1"/>
  <c r="AA29" i="19"/>
  <c r="AA40" i="19"/>
  <c r="AA36" i="19"/>
  <c r="CA9" i="37"/>
  <c r="T80" i="22"/>
  <c r="BZ9" i="37" s="1"/>
  <c r="Z40" i="19"/>
  <c r="Z37" i="19"/>
  <c r="U80" i="24"/>
  <c r="Q9" i="37"/>
  <c r="W80" i="24"/>
  <c r="P80" i="24"/>
  <c r="K9" i="37" s="1"/>
  <c r="L9" i="37"/>
  <c r="W80" i="12"/>
  <c r="AG9" i="37" s="1"/>
  <c r="U80" i="12"/>
  <c r="W36" i="19"/>
  <c r="W37" i="19" s="1"/>
  <c r="W29" i="19"/>
  <c r="W39" i="19"/>
  <c r="W40" i="19" s="1"/>
  <c r="AA38" i="24"/>
  <c r="AA40" i="24" s="1"/>
  <c r="AA29" i="24"/>
  <c r="AA35" i="24"/>
  <c r="AA37" i="24" s="1"/>
  <c r="W29" i="22"/>
  <c r="W39" i="22"/>
  <c r="W40" i="22" s="1"/>
  <c r="W36" i="22"/>
  <c r="W37" i="22" s="1"/>
  <c r="AA37" i="19" l="1"/>
  <c r="O94" i="44"/>
  <c r="Q39" i="23"/>
  <c r="Q40" i="23" s="1"/>
  <c r="Q29" i="23"/>
  <c r="W29" i="12"/>
  <c r="AB29" i="24"/>
  <c r="AB39" i="19"/>
  <c r="AB40" i="19" s="1"/>
  <c r="AB39" i="24"/>
  <c r="AB40" i="24" s="1"/>
  <c r="AB39" i="22"/>
  <c r="AB40" i="22" s="1"/>
  <c r="AB36" i="19"/>
  <c r="AB37" i="19" s="1"/>
  <c r="W36" i="12"/>
  <c r="W37" i="12" s="1"/>
  <c r="AB29" i="22"/>
  <c r="AC28" i="24"/>
  <c r="AC36" i="24" s="1"/>
  <c r="AC37" i="24" s="1"/>
  <c r="AB29" i="12"/>
  <c r="AC28" i="12"/>
  <c r="AC29" i="12" s="1"/>
  <c r="W29" i="24"/>
  <c r="W36" i="24"/>
  <c r="W37" i="24" s="1"/>
  <c r="W39" i="24"/>
  <c r="W40" i="24" s="1"/>
  <c r="AB36" i="12"/>
  <c r="AB37" i="12" s="1"/>
  <c r="W39" i="23"/>
  <c r="W40" i="23" s="1"/>
  <c r="W29" i="23"/>
  <c r="N3" i="17" s="1"/>
  <c r="W36" i="23"/>
  <c r="W37" i="23" s="1"/>
  <c r="AC28" i="22"/>
  <c r="AC39" i="22" s="1"/>
  <c r="AC40" i="22" s="1"/>
  <c r="AB36" i="23"/>
  <c r="AB37" i="23" s="1"/>
  <c r="AB29" i="23"/>
  <c r="AB39" i="23"/>
  <c r="AB40" i="23" s="1"/>
  <c r="W86" i="23"/>
  <c r="AW15" i="37" s="1"/>
  <c r="AC28" i="23"/>
  <c r="W86" i="19"/>
  <c r="BM15" i="37" s="1"/>
  <c r="AC28" i="19"/>
  <c r="AE9" i="37"/>
  <c r="T80" i="12"/>
  <c r="AD9" i="37" s="1"/>
  <c r="T80" i="24"/>
  <c r="O9" i="37" s="1"/>
  <c r="P9" i="37"/>
  <c r="AC39" i="24" l="1"/>
  <c r="AC40" i="24" s="1"/>
  <c r="AC29" i="22"/>
  <c r="AC29" i="24"/>
  <c r="AC36" i="12"/>
  <c r="AC37" i="12" s="1"/>
  <c r="AC39" i="12"/>
  <c r="AC40" i="12" s="1"/>
  <c r="AC36" i="22"/>
  <c r="AC37" i="22" s="1"/>
  <c r="AC29" i="23"/>
  <c r="AC39" i="23"/>
  <c r="AC40" i="23" s="1"/>
  <c r="AC36" i="23"/>
  <c r="AC37" i="23" s="1"/>
  <c r="AC39" i="19"/>
  <c r="AC40" i="19" s="1"/>
  <c r="AC29" i="19"/>
  <c r="AC36" i="19"/>
  <c r="AC37" i="19" s="1"/>
  <c r="R49" i="66" l="1"/>
  <c r="R42" i="66"/>
  <c r="R39" i="66"/>
  <c r="AE39" i="66" s="1"/>
  <c r="R53" i="66"/>
  <c r="T53" i="66"/>
  <c r="AG53" i="66" s="1"/>
  <c r="S42" i="66"/>
  <c r="AF42" i="66" s="1"/>
  <c r="R50" i="66"/>
  <c r="AE50" i="66" s="1"/>
  <c r="S49" i="66"/>
  <c r="AF49" i="66" s="1"/>
  <c r="R44" i="66"/>
  <c r="T44" i="66"/>
  <c r="AG44" i="66" s="1"/>
  <c r="S50" i="66"/>
  <c r="AF50" i="66" s="1"/>
  <c r="R51" i="66"/>
  <c r="AE51" i="66" s="1"/>
  <c r="R40" i="66"/>
  <c r="AE40" i="66" s="1"/>
  <c r="S51" i="66"/>
  <c r="AF51" i="66" s="1"/>
  <c r="S45" i="66"/>
  <c r="AF45" i="66" s="1"/>
  <c r="R52" i="66"/>
  <c r="R43" i="66"/>
  <c r="R45" i="66"/>
  <c r="R47" i="66"/>
  <c r="AE47" i="66" s="1"/>
  <c r="R54" i="66"/>
  <c r="R46" i="66"/>
  <c r="AE46" i="66" s="1"/>
  <c r="R41" i="66"/>
  <c r="R48" i="66"/>
  <c r="R38" i="66"/>
  <c r="R36" i="66"/>
  <c r="S37" i="66"/>
  <c r="AF37" i="66" s="1"/>
  <c r="R37" i="66"/>
  <c r="S38" i="66"/>
  <c r="S36" i="66"/>
  <c r="T49" i="66"/>
  <c r="AG49" i="66" s="1"/>
  <c r="T42" i="66"/>
  <c r="AG42" i="66" s="1"/>
  <c r="T39" i="66"/>
  <c r="AG39" i="66" s="1"/>
  <c r="T47" i="66"/>
  <c r="T45" i="66"/>
  <c r="AG45" i="66" s="1"/>
  <c r="T40" i="66"/>
  <c r="T50" i="66"/>
  <c r="AG50" i="66" s="1"/>
  <c r="T51" i="66"/>
  <c r="AG51" i="66" s="1"/>
  <c r="T52" i="66"/>
  <c r="AG52" i="66" s="1"/>
  <c r="T46" i="66"/>
  <c r="AG46" i="66" s="1"/>
  <c r="T48" i="66"/>
  <c r="AG48" i="66" s="1"/>
  <c r="T41" i="66"/>
  <c r="AG41" i="66" s="1"/>
  <c r="T54" i="66"/>
  <c r="AG54" i="66" s="1"/>
  <c r="T43" i="66"/>
  <c r="AG43" i="66" s="1"/>
  <c r="T36" i="66"/>
  <c r="AG36" i="66" s="1"/>
  <c r="T37" i="66"/>
  <c r="AG37" i="66" s="1"/>
  <c r="T38" i="66"/>
  <c r="AG38" i="66" s="1"/>
  <c r="S39" i="66"/>
  <c r="S40" i="66"/>
  <c r="AF40" i="66" s="1"/>
  <c r="S46" i="66"/>
  <c r="S41" i="66"/>
  <c r="AF41" i="66" s="1"/>
  <c r="S44" i="66"/>
  <c r="S53" i="66"/>
  <c r="AF53" i="66" s="1"/>
  <c r="S54" i="66"/>
  <c r="AF54" i="66" s="1"/>
  <c r="S52" i="66"/>
  <c r="AF52" i="66" s="1"/>
  <c r="S43" i="66"/>
  <c r="AF43" i="66" s="1"/>
  <c r="S47" i="66"/>
  <c r="AF47" i="66" s="1"/>
  <c r="S48" i="66"/>
  <c r="AF48" i="66" s="1"/>
  <c r="Z39" i="66" l="1"/>
  <c r="R15" i="66" s="1"/>
  <c r="AB15" i="66" s="1"/>
  <c r="AF15" i="66" s="1"/>
  <c r="Z46" i="66"/>
  <c r="AB46" i="66" s="1"/>
  <c r="S22" i="66" s="1"/>
  <c r="AM22" i="66" s="1"/>
  <c r="V48" i="66"/>
  <c r="X48" i="66" s="1"/>
  <c r="P24" i="66" s="1"/>
  <c r="AL24" i="66" s="1"/>
  <c r="V47" i="66"/>
  <c r="X47" i="66" s="1"/>
  <c r="P23" i="66" s="1"/>
  <c r="AL23" i="66" s="1"/>
  <c r="V44" i="66"/>
  <c r="X44" i="66" s="1"/>
  <c r="P20" i="66" s="1"/>
  <c r="AL20" i="66" s="1"/>
  <c r="AF38" i="66"/>
  <c r="V45" i="66"/>
  <c r="N21" i="66" s="1"/>
  <c r="AF36" i="66"/>
  <c r="AF44" i="66"/>
  <c r="AF39" i="66"/>
  <c r="AJ39" i="66" s="1"/>
  <c r="V36" i="66"/>
  <c r="AE36" i="66"/>
  <c r="Z53" i="66"/>
  <c r="AB53" i="66" s="1"/>
  <c r="S29" i="66" s="1"/>
  <c r="AM29" i="66" s="1"/>
  <c r="AF46" i="66"/>
  <c r="AJ46" i="66" s="1"/>
  <c r="AE37" i="66"/>
  <c r="AJ37" i="66" s="1"/>
  <c r="V38" i="66"/>
  <c r="AE38" i="66"/>
  <c r="Z40" i="66"/>
  <c r="AB40" i="66" s="1"/>
  <c r="S16" i="66" s="1"/>
  <c r="AM16" i="66" s="1"/>
  <c r="N24" i="66"/>
  <c r="V41" i="66"/>
  <c r="Z43" i="66"/>
  <c r="V43" i="66"/>
  <c r="AE43" i="66"/>
  <c r="AJ43" i="66" s="1"/>
  <c r="AE48" i="66"/>
  <c r="AJ48" i="66" s="1"/>
  <c r="Z38" i="66"/>
  <c r="AJ51" i="66"/>
  <c r="V39" i="66"/>
  <c r="V42" i="66"/>
  <c r="Z42" i="66"/>
  <c r="AE42" i="66"/>
  <c r="AJ42" i="66" s="1"/>
  <c r="AG40" i="66"/>
  <c r="AJ40" i="66" s="1"/>
  <c r="AG47" i="66"/>
  <c r="AJ47" i="66" s="1"/>
  <c r="Z37" i="66"/>
  <c r="Z48" i="66"/>
  <c r="AE41" i="66"/>
  <c r="AJ41" i="66" s="1"/>
  <c r="Z41" i="66"/>
  <c r="V46" i="66"/>
  <c r="AE54" i="66"/>
  <c r="AJ54" i="66" s="1"/>
  <c r="Z54" i="66"/>
  <c r="V54" i="66"/>
  <c r="V37" i="66"/>
  <c r="Z44" i="66"/>
  <c r="V50" i="66"/>
  <c r="Z36" i="66"/>
  <c r="Z47" i="66"/>
  <c r="AJ50" i="66"/>
  <c r="Z49" i="66"/>
  <c r="AE45" i="66"/>
  <c r="AJ45" i="66" s="1"/>
  <c r="Z45" i="66"/>
  <c r="AE52" i="66"/>
  <c r="AJ52" i="66" s="1"/>
  <c r="V52" i="66"/>
  <c r="Z52" i="66"/>
  <c r="V49" i="66"/>
  <c r="V40" i="66"/>
  <c r="V51" i="66"/>
  <c r="AE53" i="66"/>
  <c r="AJ53" i="66" s="1"/>
  <c r="AE44" i="66"/>
  <c r="Z50" i="66"/>
  <c r="AE49" i="66"/>
  <c r="AJ49" i="66" s="1"/>
  <c r="V53" i="66"/>
  <c r="Z51" i="66"/>
  <c r="AJ38" i="66" l="1"/>
  <c r="AL38" i="66" s="1"/>
  <c r="AB39" i="66"/>
  <c r="S15" i="66" s="1"/>
  <c r="AM15" i="66" s="1"/>
  <c r="X45" i="66"/>
  <c r="P21" i="66" s="1"/>
  <c r="AL21" i="66" s="1"/>
  <c r="R16" i="66"/>
  <c r="AB16" i="66" s="1"/>
  <c r="AF16" i="66" s="1"/>
  <c r="R22" i="66"/>
  <c r="AB22" i="66" s="1"/>
  <c r="AF22" i="66" s="1"/>
  <c r="AJ44" i="66"/>
  <c r="AL44" i="66" s="1"/>
  <c r="R29" i="66"/>
  <c r="AB29" i="66" s="1"/>
  <c r="AF29" i="66" s="1"/>
  <c r="N20" i="66"/>
  <c r="AG20" i="66" s="1"/>
  <c r="N23" i="66"/>
  <c r="AG23" i="66" s="1"/>
  <c r="AJ36" i="66"/>
  <c r="AL36" i="66" s="1"/>
  <c r="U13" i="66"/>
  <c r="V13" i="66" s="1"/>
  <c r="AN13" i="66" s="1"/>
  <c r="AL37" i="66"/>
  <c r="X37" i="66"/>
  <c r="P13" i="66" s="1"/>
  <c r="AL13" i="66" s="1"/>
  <c r="N13" i="66"/>
  <c r="AB37" i="66"/>
  <c r="S13" i="66" s="1"/>
  <c r="AM13" i="66" s="1"/>
  <c r="R13" i="66"/>
  <c r="AB13" i="66" s="1"/>
  <c r="AF13" i="66" s="1"/>
  <c r="X36" i="66"/>
  <c r="P12" i="66" s="1"/>
  <c r="AL12" i="66" s="1"/>
  <c r="N12" i="66"/>
  <c r="AB36" i="66"/>
  <c r="S12" i="66" s="1"/>
  <c r="R12" i="66"/>
  <c r="AB12" i="66" s="1"/>
  <c r="AF12" i="66" s="1"/>
  <c r="X38" i="66"/>
  <c r="P14" i="66" s="1"/>
  <c r="AL14" i="66" s="1"/>
  <c r="N14" i="66"/>
  <c r="AB38" i="66"/>
  <c r="S14" i="66" s="1"/>
  <c r="AM14" i="66" s="1"/>
  <c r="R14" i="66"/>
  <c r="AB14" i="66" s="1"/>
  <c r="AF14" i="66" s="1"/>
  <c r="U16" i="66"/>
  <c r="V16" i="66" s="1"/>
  <c r="AN16" i="66" s="1"/>
  <c r="AL40" i="66"/>
  <c r="U21" i="66"/>
  <c r="V21" i="66" s="1"/>
  <c r="AN21" i="66" s="1"/>
  <c r="AL45" i="66"/>
  <c r="X50" i="66"/>
  <c r="P26" i="66" s="1"/>
  <c r="AL26" i="66" s="1"/>
  <c r="N26" i="66"/>
  <c r="N29" i="66"/>
  <c r="X53" i="66"/>
  <c r="P29" i="66" s="1"/>
  <c r="AL29" i="66" s="1"/>
  <c r="U15" i="66"/>
  <c r="V15" i="66" s="1"/>
  <c r="AN15" i="66" s="1"/>
  <c r="AL39" i="66"/>
  <c r="X52" i="66"/>
  <c r="P28" i="66" s="1"/>
  <c r="AL28" i="66" s="1"/>
  <c r="N28" i="66"/>
  <c r="U30" i="66"/>
  <c r="V30" i="66" s="1"/>
  <c r="AN30" i="66" s="1"/>
  <c r="AL54" i="66"/>
  <c r="R24" i="66"/>
  <c r="AB24" i="66" s="1"/>
  <c r="AF24" i="66" s="1"/>
  <c r="AB48" i="66"/>
  <c r="S24" i="66" s="1"/>
  <c r="AM24" i="66" s="1"/>
  <c r="U18" i="66"/>
  <c r="V18" i="66" s="1"/>
  <c r="AN18" i="66" s="1"/>
  <c r="AL42" i="66"/>
  <c r="AL48" i="66"/>
  <c r="U24" i="66"/>
  <c r="V24" i="66" s="1"/>
  <c r="AN24" i="66" s="1"/>
  <c r="AL49" i="66"/>
  <c r="U25" i="66"/>
  <c r="V25" i="66" s="1"/>
  <c r="AN25" i="66" s="1"/>
  <c r="N27" i="66"/>
  <c r="X51" i="66"/>
  <c r="P27" i="66" s="1"/>
  <c r="AL27" i="66" s="1"/>
  <c r="U23" i="66"/>
  <c r="V23" i="66" s="1"/>
  <c r="AN23" i="66" s="1"/>
  <c r="AL47" i="66"/>
  <c r="U28" i="66"/>
  <c r="V28" i="66" s="1"/>
  <c r="AN28" i="66" s="1"/>
  <c r="AL52" i="66"/>
  <c r="U26" i="66"/>
  <c r="V26" i="66" s="1"/>
  <c r="AN26" i="66" s="1"/>
  <c r="AL50" i="66"/>
  <c r="N22" i="66"/>
  <c r="X46" i="66"/>
  <c r="P22" i="66" s="1"/>
  <c r="AL22" i="66" s="1"/>
  <c r="AB42" i="66"/>
  <c r="S18" i="66" s="1"/>
  <c r="AM18" i="66" s="1"/>
  <c r="R18" i="66"/>
  <c r="AB18" i="66" s="1"/>
  <c r="AF18" i="66" s="1"/>
  <c r="AL43" i="66"/>
  <c r="U19" i="66"/>
  <c r="V19" i="66" s="1"/>
  <c r="AN19" i="66" s="1"/>
  <c r="X41" i="66"/>
  <c r="P17" i="66" s="1"/>
  <c r="AL17" i="66" s="1"/>
  <c r="N17" i="66"/>
  <c r="AA21" i="66"/>
  <c r="AG21" i="66"/>
  <c r="R26" i="66"/>
  <c r="AB26" i="66" s="1"/>
  <c r="AF26" i="66" s="1"/>
  <c r="AB50" i="66"/>
  <c r="S26" i="66" s="1"/>
  <c r="AM26" i="66" s="1"/>
  <c r="N16" i="66"/>
  <c r="X40" i="66"/>
  <c r="P16" i="66" s="1"/>
  <c r="AL16" i="66" s="1"/>
  <c r="AB45" i="66"/>
  <c r="S21" i="66" s="1"/>
  <c r="AM21" i="66" s="1"/>
  <c r="R21" i="66"/>
  <c r="AB21" i="66" s="1"/>
  <c r="AF21" i="66" s="1"/>
  <c r="AB47" i="66"/>
  <c r="S23" i="66" s="1"/>
  <c r="AM23" i="66" s="1"/>
  <c r="R23" i="66"/>
  <c r="AB23" i="66" s="1"/>
  <c r="AF23" i="66" s="1"/>
  <c r="N30" i="66"/>
  <c r="X54" i="66"/>
  <c r="P30" i="66" s="1"/>
  <c r="AL30" i="66" s="1"/>
  <c r="R17" i="66"/>
  <c r="AB17" i="66" s="1"/>
  <c r="AF17" i="66" s="1"/>
  <c r="AB41" i="66"/>
  <c r="S17" i="66" s="1"/>
  <c r="AM17" i="66" s="1"/>
  <c r="X42" i="66"/>
  <c r="P18" i="66" s="1"/>
  <c r="AL18" i="66" s="1"/>
  <c r="N18" i="66"/>
  <c r="U27" i="66"/>
  <c r="V27" i="66" s="1"/>
  <c r="AN27" i="66" s="1"/>
  <c r="AL51" i="66"/>
  <c r="X43" i="66"/>
  <c r="P19" i="66" s="1"/>
  <c r="AL19" i="66" s="1"/>
  <c r="N19" i="66"/>
  <c r="R27" i="66"/>
  <c r="AB27" i="66" s="1"/>
  <c r="AF27" i="66" s="1"/>
  <c r="AB51" i="66"/>
  <c r="S27" i="66" s="1"/>
  <c r="AM27" i="66" s="1"/>
  <c r="AB52" i="66"/>
  <c r="S28" i="66" s="1"/>
  <c r="AM28" i="66" s="1"/>
  <c r="R28" i="66"/>
  <c r="AB28" i="66" s="1"/>
  <c r="AF28" i="66" s="1"/>
  <c r="AB54" i="66"/>
  <c r="S30" i="66" s="1"/>
  <c r="AM30" i="66" s="1"/>
  <c r="R30" i="66"/>
  <c r="AB30" i="66" s="1"/>
  <c r="AF30" i="66" s="1"/>
  <c r="U17" i="66"/>
  <c r="V17" i="66" s="1"/>
  <c r="AN17" i="66" s="1"/>
  <c r="AL41" i="66"/>
  <c r="X39" i="66"/>
  <c r="P15" i="66" s="1"/>
  <c r="AL15" i="66" s="1"/>
  <c r="N15" i="66"/>
  <c r="AB43" i="66"/>
  <c r="S19" i="66" s="1"/>
  <c r="AM19" i="66" s="1"/>
  <c r="R19" i="66"/>
  <c r="AB19" i="66" s="1"/>
  <c r="AF19" i="66" s="1"/>
  <c r="U22" i="66"/>
  <c r="V22" i="66" s="1"/>
  <c r="AN22" i="66" s="1"/>
  <c r="AL46" i="66"/>
  <c r="AG24" i="66"/>
  <c r="AA24" i="66"/>
  <c r="X49" i="66"/>
  <c r="P25" i="66" s="1"/>
  <c r="AL25" i="66" s="1"/>
  <c r="N25" i="66"/>
  <c r="AB49" i="66"/>
  <c r="S25" i="66" s="1"/>
  <c r="AM25" i="66" s="1"/>
  <c r="R25" i="66"/>
  <c r="AB25" i="66" s="1"/>
  <c r="AF25" i="66" s="1"/>
  <c r="AL53" i="66"/>
  <c r="U29" i="66"/>
  <c r="V29" i="66" s="1"/>
  <c r="AN29" i="66" s="1"/>
  <c r="R20" i="66"/>
  <c r="AB20" i="66" s="1"/>
  <c r="AF20" i="66" s="1"/>
  <c r="AB44" i="66"/>
  <c r="S20" i="66" s="1"/>
  <c r="AM20" i="66" s="1"/>
  <c r="U14" i="66" l="1"/>
  <c r="V14" i="66" s="1"/>
  <c r="AN14" i="66" s="1"/>
  <c r="AA20" i="66"/>
  <c r="U20" i="66"/>
  <c r="V20" i="66" s="1"/>
  <c r="AN20" i="66" s="1"/>
  <c r="AA23" i="66"/>
  <c r="AA14" i="66"/>
  <c r="AG14" i="66"/>
  <c r="AA12" i="66"/>
  <c r="AG12" i="66"/>
  <c r="AA13" i="66"/>
  <c r="AG13" i="66"/>
  <c r="AM12" i="66"/>
  <c r="U12" i="66"/>
  <c r="V12" i="66" s="1"/>
  <c r="AN12" i="66" s="1"/>
  <c r="AG25" i="66"/>
  <c r="AA25" i="66"/>
  <c r="AG15" i="66"/>
  <c r="AA15" i="66"/>
  <c r="AG19" i="66"/>
  <c r="AA19" i="66"/>
  <c r="AG18" i="66"/>
  <c r="AA18" i="66"/>
  <c r="AG16" i="66"/>
  <c r="AA16" i="66"/>
  <c r="AA27" i="66"/>
  <c r="AG27" i="66"/>
  <c r="AG17" i="66"/>
  <c r="AA17" i="66"/>
  <c r="AG26" i="66"/>
  <c r="AA26" i="66"/>
  <c r="AA22" i="66"/>
  <c r="AG22" i="66"/>
  <c r="AA28" i="66"/>
  <c r="AG28" i="66"/>
  <c r="AG30" i="66"/>
  <c r="AA30" i="66"/>
  <c r="AG29" i="66"/>
  <c r="AA29"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07F45C65-B73F-41F2-BFA1-506ABDEB4279}">
      <text>
        <r>
          <rPr>
            <sz val="9"/>
            <color indexed="81"/>
            <rFont val="Tahoma"/>
            <family val="2"/>
          </rPr>
          <t xml:space="preserve">Defaults to the Core City baseline GHG selected by the respective cities for this analysis. Variable can be changed from default. </t>
        </r>
      </text>
    </comment>
    <comment ref="Q10" authorId="0" shapeId="0" xr:uid="{895F885A-6560-4A30-A314-2A8C00A947EF}">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8FF7D6DD-6DEF-4C23-A9B2-56DB835643E2}">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59DCA7A9-3CC2-4735-8085-EA29F4A4DCCF}">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7BFB18BE-8049-44E6-AF29-C996515C0E2D}">
      <text>
        <r>
          <rPr>
            <sz val="9"/>
            <color indexed="81"/>
            <rFont val="Tahoma"/>
            <family val="2"/>
          </rPr>
          <t xml:space="preserve">Defaults to the Core City baseline GHG selected by the respective cities for this analysis. Variable can be changed from default. </t>
        </r>
      </text>
    </comment>
    <comment ref="Q10" authorId="0" shapeId="0" xr:uid="{9CCE5BA3-D3DD-4C34-B9B0-376764BD9B7B}">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B8ECBFDE-503F-4623-A0C5-6DCA5E8BF4BB}">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FDEC3038-20B7-47BC-BBE1-58E202CA847B}">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270F6C1B-4868-451B-A149-BA8091C98AEB}">
      <text>
        <r>
          <rPr>
            <sz val="9"/>
            <color indexed="81"/>
            <rFont val="Tahoma"/>
            <family val="2"/>
          </rPr>
          <t xml:space="preserve">Defaults to the Core City baseline GHG selected by the respective cities for this analysis. Variable can be changed from default. </t>
        </r>
      </text>
    </comment>
    <comment ref="Q10" authorId="0" shapeId="0" xr:uid="{77A4900F-7A89-4E85-9904-46AAC6CEF740}">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04748664-6DAA-464D-98C4-A773BD58FF88}">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83BB3CE3-E7CD-43BD-AF22-797EC00EB853}">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92ABBC51-8C2C-4E8F-9691-51DC585A286E}">
      <text>
        <r>
          <rPr>
            <sz val="9"/>
            <color indexed="81"/>
            <rFont val="Tahoma"/>
            <family val="2"/>
          </rPr>
          <t xml:space="preserve">Defaults to the Core City baseline GHG selected by the respective cities for this analysis. Variable can be changed from default. </t>
        </r>
      </text>
    </comment>
    <comment ref="Q10" authorId="0" shapeId="0" xr:uid="{FB8A2D57-75BB-4B06-9D1A-1FFD2EB060BB}">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9F7F13FC-653D-449D-BCA1-E79EDE736138}">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448DC2EC-2A5D-4203-BCB6-42B189949657}">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BF83C8A5-12F5-4459-A86F-D3A9A709A476}">
      <text>
        <r>
          <rPr>
            <sz val="9"/>
            <color indexed="81"/>
            <rFont val="Tahoma"/>
            <family val="2"/>
          </rPr>
          <t xml:space="preserve">Defaults to the Core City baseline GHG selected by the respective cities for this analysis. Variable can be changed from default. </t>
        </r>
      </text>
    </comment>
    <comment ref="Q10" authorId="0" shapeId="0" xr:uid="{8DC55E77-7277-4151-99B2-2415DB3C0AD2}">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F79FAA06-8D3D-4F31-8A12-1390C0045A74}">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8FA03C5F-9B3D-40E9-A817-39DDE816AAEC}">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4" authorId="0" shapeId="0" xr:uid="{7E6A32DD-1313-43E1-9441-00173F260C79}">
      <text>
        <r>
          <rPr>
            <sz val="9"/>
            <color indexed="81"/>
            <rFont val="Tahoma"/>
            <family val="2"/>
          </rPr>
          <t xml:space="preserve">Defaults to the Core City baseline GHG selected by the respective cities for this analysis. Variable can be changed from default. </t>
        </r>
      </text>
    </comment>
    <comment ref="Q10" authorId="0" shapeId="0" xr:uid="{D53E1334-AC4C-4474-9639-A8AA5BE28BB2}">
      <text>
        <r>
          <rPr>
            <sz val="9"/>
            <color indexed="81"/>
            <rFont val="Tahoma"/>
            <family val="2"/>
          </rPr>
          <t xml:space="preserve">To meet a Zero Net Carbon (ZNC) goal, buildings must eliminate on-site combustion, which can be achieved through electrification of all end uses. This target converts the Energy Efficiency target end uses from gas to electricity without reducing end use consumption. </t>
        </r>
      </text>
    </comment>
    <comment ref="T10" authorId="0" shapeId="0" xr:uid="{232635FC-0E5E-4AC0-B4A4-ED2DE4DF3795}">
      <text>
        <r>
          <rPr>
            <sz val="9"/>
            <color indexed="81"/>
            <rFont val="Tahoma"/>
            <family val="2"/>
          </rPr>
          <t xml:space="preserve">The reduced consumption achieved in this additional target is from a retrofit pathway that includes additional wall insulation and energy recovery ventilation that minimizes space heating and space cooling loads. Other end uses are not affected. See full report for more detail. </t>
        </r>
      </text>
    </comment>
    <comment ref="G11" authorId="0" shapeId="0" xr:uid="{0CB6F581-2C64-40C1-A517-09C8997C383B}">
      <text>
        <r>
          <rPr>
            <sz val="9"/>
            <color indexed="81"/>
            <rFont val="Tahoma"/>
            <family val="2"/>
          </rPr>
          <t xml:space="preserve">The baseline for the default typologies uses the median site EUI and the median fuel split (gas vs electricity) to arrive at the baseline Gas EUI and baseline Elec EUI. Initial assumptions on the gas-using sytems in the building are made in these columns, which inform how energy use can be reduced in each typology at the given baseline. 
To run different scenarios for a given typology, you can change the baseline EUI numbers and the gas space and water heating assumptions here, then see the results in the targets at right.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0" authorId="0" shapeId="0" xr:uid="{3AA2F65F-B825-48EE-A3A0-5D0BFF9E130B}">
      <text>
        <r>
          <rPr>
            <sz val="9"/>
            <color indexed="81"/>
            <rFont val="Tahoma"/>
            <family val="2"/>
          </rPr>
          <t>COPh: Coefficient of Performance in heating, a rating for heat pump water heaters that is the same as COP for these heating end uses.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 authorId="0" shapeId="0" xr:uid="{24BB7AF6-624D-4BA1-B961-0AB4D01E6C0B}">
      <text>
        <r>
          <rPr>
            <sz val="9"/>
            <color indexed="81"/>
            <rFont val="Tahoma"/>
            <family val="2"/>
          </rPr>
          <t>Assumes 11F design temperature, 4485 HDD65 in NYC (10-yr rolling average as of 2019) and 12,000 BTU per 1000SF on design day in typical MF building</t>
        </r>
      </text>
    </comment>
  </commentList>
</comment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Table1].[Data Check (0=good data)].&amp;[0]}"/>
    <s v="{[BroadCAT].[CNCA Typology].&amp;[Hotel-Dorm-Lodging]}"/>
    <s v="{[BroadCAT].[CNCA Typology].&amp;[Office]}"/>
    <s v="{[Table1].[Large or Small].&amp;[ not Large]}"/>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<sst xmlns="http://schemas.openxmlformats.org/spreadsheetml/2006/main" count="11239" uniqueCount="1560">
  <si>
    <t>Release date:  December 2016</t>
  </si>
  <si>
    <t>Table PBA4. Electricity consumption totals and conditional intensities by building activity subcategories, 2012</t>
  </si>
  <si>
    <t>Site electricity consumption</t>
  </si>
  <si>
    <t>All buildings using electricity</t>
  </si>
  <si>
    <t>per
building
(thousandkWh)</t>
  </si>
  <si>
    <t>per
square foot
(kWh)</t>
  </si>
  <si>
    <t>Distribution of 
building-level intensities
(kWh/square foot)</t>
  </si>
  <si>
    <t>Number of buildings (thousand)</t>
  </si>
  <si>
    <t>Total
floorspace
(million 
square feet)</t>
  </si>
  <si>
    <t>Floorspace
per building
(thousand
square feet)</t>
  </si>
  <si>
    <t>Total (billion kWh)</t>
  </si>
  <si>
    <t>25th
per-
centile</t>
  </si>
  <si>
    <t>Median</t>
  </si>
  <si>
    <t>75th
per-
centile</t>
  </si>
  <si>
    <t>All buildings</t>
  </si>
  <si>
    <t>Principal building activity
(expanded)</t>
  </si>
  <si>
    <t/>
  </si>
  <si>
    <t xml:space="preserve">Education </t>
  </si>
  <si>
    <t xml:space="preserve">College or university </t>
  </si>
  <si>
    <t xml:space="preserve">K-12 </t>
  </si>
  <si>
    <t xml:space="preserve">Elementary or middle school </t>
  </si>
  <si>
    <t xml:space="preserve">High school </t>
  </si>
  <si>
    <t xml:space="preserve">Preschool or daycare </t>
  </si>
  <si>
    <t xml:space="preserve">Other classroom education </t>
  </si>
  <si>
    <t xml:space="preserve">Food sales </t>
  </si>
  <si>
    <r>
      <t>Convenience store</t>
    </r>
    <r>
      <rPr>
        <vertAlign val="superscript"/>
        <sz val="10"/>
        <color theme="1"/>
        <rFont val="Calibri"/>
        <family val="2"/>
        <scheme val="minor"/>
      </rPr>
      <t>1</t>
    </r>
  </si>
  <si>
    <t xml:space="preserve">Grocery store or food market </t>
  </si>
  <si>
    <t xml:space="preserve">Other food sales </t>
  </si>
  <si>
    <t>Q</t>
  </si>
  <si>
    <t xml:space="preserve">Food service </t>
  </si>
  <si>
    <t xml:space="preserve">Fast food </t>
  </si>
  <si>
    <t xml:space="preserve">Restaurant or cafeteria </t>
  </si>
  <si>
    <t>Bar, pub, or lounge</t>
  </si>
  <si>
    <t xml:space="preserve">Other food service </t>
  </si>
  <si>
    <t xml:space="preserve">Health care </t>
  </si>
  <si>
    <t xml:space="preserve">Inpatient </t>
  </si>
  <si>
    <t xml:space="preserve">Outpatient </t>
  </si>
  <si>
    <t xml:space="preserve">Office (diagnostic) </t>
  </si>
  <si>
    <t xml:space="preserve">Clinic or other outpatient </t>
  </si>
  <si>
    <t xml:space="preserve">Lodging </t>
  </si>
  <si>
    <t xml:space="preserve">Hotel </t>
  </si>
  <si>
    <t xml:space="preserve">Motel or inn </t>
  </si>
  <si>
    <t xml:space="preserve">Dormitory, fraternity, or sorority </t>
  </si>
  <si>
    <t>Nursing home or assisted living</t>
  </si>
  <si>
    <t xml:space="preserve">Other lodging </t>
  </si>
  <si>
    <t xml:space="preserve">Mercantile </t>
  </si>
  <si>
    <t>Retail (other than mall)</t>
  </si>
  <si>
    <t xml:space="preserve">Retail store </t>
  </si>
  <si>
    <t xml:space="preserve">Vehicle dealership </t>
  </si>
  <si>
    <t xml:space="preserve">Other retail </t>
  </si>
  <si>
    <t>Enclosed and strip malls</t>
  </si>
  <si>
    <t xml:space="preserve">Strip shopping center </t>
  </si>
  <si>
    <t xml:space="preserve">Enclosed mall </t>
  </si>
  <si>
    <t xml:space="preserve">Office </t>
  </si>
  <si>
    <t>Administrative or professional</t>
  </si>
  <si>
    <t xml:space="preserve">Bank or other financial </t>
  </si>
  <si>
    <t xml:space="preserve">Government </t>
  </si>
  <si>
    <t xml:space="preserve">Medical (non-diagnostic) </t>
  </si>
  <si>
    <t xml:space="preserve">Mixed-use </t>
  </si>
  <si>
    <t xml:space="preserve">Other office </t>
  </si>
  <si>
    <t xml:space="preserve">Public assembly </t>
  </si>
  <si>
    <t xml:space="preserve">Library </t>
  </si>
  <si>
    <t>Entertainment or culture</t>
  </si>
  <si>
    <t xml:space="preserve">Recreation </t>
  </si>
  <si>
    <t xml:space="preserve">Social or meeting </t>
  </si>
  <si>
    <t xml:space="preserve">Other assembly </t>
  </si>
  <si>
    <t xml:space="preserve">Public order and safety </t>
  </si>
  <si>
    <t xml:space="preserve">Fire or police station </t>
  </si>
  <si>
    <t>Courthouse or probation office</t>
  </si>
  <si>
    <t xml:space="preserve">Other public order </t>
  </si>
  <si>
    <t xml:space="preserve">Religious worship </t>
  </si>
  <si>
    <t xml:space="preserve">Service </t>
  </si>
  <si>
    <t xml:space="preserve">Post office or postal center </t>
  </si>
  <si>
    <t xml:space="preserve">Repair shop </t>
  </si>
  <si>
    <t xml:space="preserve">Vehicle service or repair </t>
  </si>
  <si>
    <t>Vehicle storage or maintenance</t>
  </si>
  <si>
    <t xml:space="preserve">Other service </t>
  </si>
  <si>
    <t xml:space="preserve">Warehouse and storage </t>
  </si>
  <si>
    <t>Nonrefrigerated</t>
  </si>
  <si>
    <t>Warehouse</t>
  </si>
  <si>
    <t>Distribution or shipping center</t>
  </si>
  <si>
    <t xml:space="preserve">Self storage units </t>
  </si>
  <si>
    <t xml:space="preserve">Refrigerated </t>
  </si>
  <si>
    <t xml:space="preserve">Other </t>
  </si>
  <si>
    <t xml:space="preserve">Laboratory </t>
  </si>
  <si>
    <t xml:space="preserve">Vacant </t>
  </si>
  <si>
    <r>
      <t xml:space="preserve">     </t>
    </r>
    <r>
      <rPr>
        <vertAlign val="superscript"/>
        <sz val="9"/>
        <color theme="1"/>
        <rFont val="Calibri"/>
        <family val="2"/>
        <scheme val="minor"/>
      </rPr>
      <t>1</t>
    </r>
    <r>
      <rPr>
        <sz val="9"/>
        <color theme="1"/>
        <rFont val="Calibri"/>
        <family val="2"/>
        <scheme val="minor"/>
      </rPr>
      <t xml:space="preserve">Includes </t>
    </r>
    <r>
      <rPr>
        <i/>
        <sz val="9"/>
        <color theme="1"/>
        <rFont val="Calibri"/>
        <family val="2"/>
        <scheme val="minor"/>
      </rPr>
      <t>Convenience stores</t>
    </r>
    <r>
      <rPr>
        <sz val="9"/>
        <color theme="1"/>
        <rFont val="Calibri"/>
        <family val="2"/>
        <scheme val="minor"/>
      </rPr>
      <t xml:space="preserve"> and </t>
    </r>
    <r>
      <rPr>
        <i/>
        <sz val="9"/>
        <color theme="1"/>
        <rFont val="Calibri"/>
        <family val="2"/>
        <scheme val="minor"/>
      </rPr>
      <t>Convenience stores with gas stations</t>
    </r>
    <r>
      <rPr>
        <sz val="9"/>
        <color theme="1"/>
        <rFont val="Calibri"/>
        <family val="2"/>
        <scheme val="minor"/>
      </rPr>
      <t xml:space="preserve">.
     Q = Data withheld either because the Relative Standard Error (RSE) was greater than 50 percent or fewer than 20 buildings were sampled.
      Notes:  ● Because of rounding, data may not sum to totals.  ● See the </t>
    </r>
    <r>
      <rPr>
        <i/>
        <sz val="9"/>
        <color theme="1"/>
        <rFont val="Calibri"/>
        <family val="2"/>
        <scheme val="minor"/>
      </rPr>
      <t>Guide to the 2012 CBECS Detailed Tables</t>
    </r>
    <r>
      <rPr>
        <sz val="9"/>
        <color theme="1"/>
        <rFont val="Calibri"/>
        <family val="2"/>
        <scheme val="minor"/>
      </rPr>
      <t xml:space="preserve"> or </t>
    </r>
    <r>
      <rPr>
        <i/>
        <sz val="9"/>
        <color theme="1"/>
        <rFont val="Calibri"/>
        <family val="2"/>
        <scheme val="minor"/>
      </rPr>
      <t xml:space="preserve">CBECS Terminology </t>
    </r>
    <r>
      <rPr>
        <sz val="9"/>
        <color theme="1"/>
        <rFont val="Calibri"/>
        <family val="2"/>
        <scheme val="minor"/>
      </rPr>
      <t>for definitions of terms used in these tables and/or comparison of differences with prior CBECS tables. Both references can be accessed from http://www.eia.gov/consumption/commercial/data/2012/ 
     Source: U.S. Energy Information Administration, Office of Energy Consumption and Efficiency Statistics, Form EIA-871A and E of the 2012 Commercial Buildings Energy Consumption Survey.</t>
    </r>
  </si>
  <si>
    <t>Release date: May 2016</t>
  </si>
  <si>
    <t>Table C17. Electricity consumption and conditional energy intensity by Census division (part 1), 2012</t>
  </si>
  <si>
    <t>Total electricity
consumption
(billion kWh)</t>
  </si>
  <si>
    <t>Total floorspace of 
buildings using electricity
(million square feet)</t>
  </si>
  <si>
    <t>Electricity
energy intensity
(kWh/square foot)</t>
  </si>
  <si>
    <t>New
England</t>
  </si>
  <si>
    <t>Middle 
Atlantic</t>
  </si>
  <si>
    <t>East
North
Central</t>
  </si>
  <si>
    <t>West
North
Central</t>
  </si>
  <si>
    <t>South
Atlantic</t>
  </si>
  <si>
    <t>East
South
Central</t>
  </si>
  <si>
    <t>West
South
Central</t>
  </si>
  <si>
    <t>Mountain</t>
  </si>
  <si>
    <t>Pacific</t>
  </si>
  <si>
    <t>Building floorspace (square feet)</t>
  </si>
  <si>
    <t xml:space="preserve">1,001 to 5,000 </t>
  </si>
  <si>
    <t xml:space="preserve">5,001 to 10,000 </t>
  </si>
  <si>
    <t>10,001 to 25,000</t>
  </si>
  <si>
    <t>25,001 to 50,000</t>
  </si>
  <si>
    <t xml:space="preserve">50,001 to 100,000 </t>
  </si>
  <si>
    <t xml:space="preserve">100,001 to 200,000 </t>
  </si>
  <si>
    <t xml:space="preserve">200,001 to 500,000 </t>
  </si>
  <si>
    <t xml:space="preserve">Over 500,000 </t>
  </si>
  <si>
    <t>Principal building activity</t>
  </si>
  <si>
    <t>Education</t>
  </si>
  <si>
    <t xml:space="preserve">Retail (other than mall) </t>
  </si>
  <si>
    <t xml:space="preserve">Enclosed and strip malls </t>
  </si>
  <si>
    <t>Year constructed</t>
  </si>
  <si>
    <t>Before 1920</t>
  </si>
  <si>
    <t>1920 to 1945</t>
  </si>
  <si>
    <t>1946 to 1959</t>
  </si>
  <si>
    <t>1960 to 1969</t>
  </si>
  <si>
    <t>1970 to 1979</t>
  </si>
  <si>
    <t>1980 to 1989</t>
  </si>
  <si>
    <t>1990 to 1999</t>
  </si>
  <si>
    <t>2000 to 2003</t>
  </si>
  <si>
    <t>2004 to 2007</t>
  </si>
  <si>
    <t>2008 to 2012</t>
  </si>
  <si>
    <r>
      <t>Climate region</t>
    </r>
    <r>
      <rPr>
        <b/>
        <vertAlign val="superscript"/>
        <sz val="10"/>
        <color theme="1"/>
        <rFont val="Calibri"/>
        <family val="2"/>
        <scheme val="minor"/>
      </rPr>
      <t>1</t>
    </r>
  </si>
  <si>
    <t>Very cold/Cold</t>
  </si>
  <si>
    <t>N</t>
  </si>
  <si>
    <t>Mixed-humid</t>
  </si>
  <si>
    <t>Mixed-dry/Hot-dry</t>
  </si>
  <si>
    <t>Hot-humid</t>
  </si>
  <si>
    <t>Marine</t>
  </si>
  <si>
    <t>Number of floors</t>
  </si>
  <si>
    <t>One</t>
  </si>
  <si>
    <t>Two</t>
  </si>
  <si>
    <t>Three</t>
  </si>
  <si>
    <t>Four to nine</t>
  </si>
  <si>
    <t>Ten or more</t>
  </si>
  <si>
    <t>Elevators and escalators 
(more than one may apply)</t>
  </si>
  <si>
    <t>Any elevators</t>
  </si>
  <si>
    <t>Number of elevators</t>
  </si>
  <si>
    <t>Two to five</t>
  </si>
  <si>
    <t>Six or more</t>
  </si>
  <si>
    <t>Any escalators</t>
  </si>
  <si>
    <t>Number of workers (main shift)</t>
  </si>
  <si>
    <t>Fewer than 5</t>
  </si>
  <si>
    <t>5 to 9</t>
  </si>
  <si>
    <t>10 to 19</t>
  </si>
  <si>
    <t>20 to 49</t>
  </si>
  <si>
    <t>50 to 99</t>
  </si>
  <si>
    <t>100 to 249</t>
  </si>
  <si>
    <t>250 or more</t>
  </si>
  <si>
    <t>Weekly operating hours</t>
  </si>
  <si>
    <t>Fewer than 40</t>
  </si>
  <si>
    <t>40 to 48</t>
  </si>
  <si>
    <t>49 to 60</t>
  </si>
  <si>
    <t>61 to 84</t>
  </si>
  <si>
    <t>85 to 167</t>
  </si>
  <si>
    <t>Open continuously</t>
  </si>
  <si>
    <t>Ownership and occupancy</t>
  </si>
  <si>
    <t>Nongovernment owned</t>
  </si>
  <si>
    <t>Owner occupied</t>
  </si>
  <si>
    <t>Leased to tenant(s)</t>
  </si>
  <si>
    <t>Owner occupied and leased</t>
  </si>
  <si>
    <t>Unoccupied</t>
  </si>
  <si>
    <t>Government owned</t>
  </si>
  <si>
    <t>Federal</t>
  </si>
  <si>
    <t>State</t>
  </si>
  <si>
    <t>Local</t>
  </si>
  <si>
    <t>Party responsible for operation
and maintenance of energy
systems</t>
  </si>
  <si>
    <t>Building owner</t>
  </si>
  <si>
    <t>Business owner or tenant</t>
  </si>
  <si>
    <t>Property management</t>
  </si>
  <si>
    <t>Other</t>
  </si>
  <si>
    <t>Provider of direct input on energy-
related equipment purchases</t>
  </si>
  <si>
    <t>Number of establishments</t>
  </si>
  <si>
    <t>2 to 5</t>
  </si>
  <si>
    <t>6 to 10</t>
  </si>
  <si>
    <t>11 to 20</t>
  </si>
  <si>
    <t>More than 20</t>
  </si>
  <si>
    <t>Currently unoccupied</t>
  </si>
  <si>
    <t>Predominant exterior wall material</t>
  </si>
  <si>
    <t>Brick, stone, or stucco</t>
  </si>
  <si>
    <t>Concrete (block or poured)</t>
  </si>
  <si>
    <t>Concrete panels</t>
  </si>
  <si>
    <t>Siding or shingles</t>
  </si>
  <si>
    <t>Metal panels</t>
  </si>
  <si>
    <t>Window glass</t>
  </si>
  <si>
    <t>No one major type</t>
  </si>
  <si>
    <t>Predominant roof material</t>
  </si>
  <si>
    <t>Metal surfacing</t>
  </si>
  <si>
    <t>Synthetic or rubber</t>
  </si>
  <si>
    <t>Built-up</t>
  </si>
  <si>
    <t>Slate or tile shingles</t>
  </si>
  <si>
    <t>Wooden materials (including
shingles)</t>
  </si>
  <si>
    <t>Asphalt, fiberglass, or 
other shingles</t>
  </si>
  <si>
    <t>Concrete</t>
  </si>
  <si>
    <t>Roof characteristics</t>
  </si>
  <si>
    <t>Roof tilt</t>
  </si>
  <si>
    <t>Flat</t>
  </si>
  <si>
    <t>Shallow pitch</t>
  </si>
  <si>
    <t>Steeper pitch</t>
  </si>
  <si>
    <t>Cool roof</t>
  </si>
  <si>
    <t>Renovations in buildings
constructed before 2008
(more than one may apply)</t>
  </si>
  <si>
    <t>Any type of renovation</t>
  </si>
  <si>
    <t>Addition or annex</t>
  </si>
  <si>
    <t>Reduction in floorspace</t>
  </si>
  <si>
    <t>Roof replacement</t>
  </si>
  <si>
    <t>Exterior wall replacement</t>
  </si>
  <si>
    <t>Interior wall reconfiguration</t>
  </si>
  <si>
    <t>Window replacement</t>
  </si>
  <si>
    <t>HVAC equipment upgrade</t>
  </si>
  <si>
    <t>Lighting upgrade</t>
  </si>
  <si>
    <t>Electrical upgrade</t>
  </si>
  <si>
    <t>Plumbing system upgrade</t>
  </si>
  <si>
    <t>Insulation upgrade</t>
  </si>
  <si>
    <t>Fire, safety, or security upgrade</t>
  </si>
  <si>
    <t>Structural upgrade</t>
  </si>
  <si>
    <t>No renovations</t>
  </si>
  <si>
    <t>Buildings constructed 2008 or later</t>
  </si>
  <si>
    <t>Energy sources
(more than one may apply)</t>
  </si>
  <si>
    <t>Electricity</t>
  </si>
  <si>
    <t>Natural gas</t>
  </si>
  <si>
    <t>Fuel oil</t>
  </si>
  <si>
    <t>District heat</t>
  </si>
  <si>
    <t>District chilled water</t>
  </si>
  <si>
    <t>Propane</t>
  </si>
  <si>
    <t xml:space="preserve">Space-heating energy sources </t>
  </si>
  <si>
    <t>Electricity main</t>
  </si>
  <si>
    <t>Electricity secondary</t>
  </si>
  <si>
    <t>Other excluding electricity</t>
  </si>
  <si>
    <t>Buildings without heating</t>
  </si>
  <si>
    <t>Primary space-heating 
energy source</t>
  </si>
  <si>
    <t>Cooling energy sources</t>
  </si>
  <si>
    <t>Buildings without cooling</t>
  </si>
  <si>
    <t>Water-heating energy sources</t>
  </si>
  <si>
    <t>Buildings without water heating</t>
  </si>
  <si>
    <t>Cooking energy sources</t>
  </si>
  <si>
    <t>Buildings without cooking</t>
  </si>
  <si>
    <t>Energy end uses
(more than one may apply)</t>
  </si>
  <si>
    <t>Buildings with space heating</t>
  </si>
  <si>
    <t>Buildings with cooling</t>
  </si>
  <si>
    <t>Buildings with water heating</t>
  </si>
  <si>
    <t>Buildings with cooking</t>
  </si>
  <si>
    <t>Buildings with manufacturing</t>
  </si>
  <si>
    <t>Buildings with electricity
generation</t>
  </si>
  <si>
    <t>Percent of floorspace heated</t>
  </si>
  <si>
    <t>Not heated</t>
  </si>
  <si>
    <t>1 to 50</t>
  </si>
  <si>
    <t>51 to 99</t>
  </si>
  <si>
    <t>100</t>
  </si>
  <si>
    <t>Percent of floorspace cooled</t>
  </si>
  <si>
    <t>Not cooled</t>
  </si>
  <si>
    <t>Percent lit when open</t>
  </si>
  <si>
    <t>Zero</t>
  </si>
  <si>
    <t>Building never open/electricity
not used</t>
  </si>
  <si>
    <t>(*)</t>
  </si>
  <si>
    <t>Percent lit during off hours</t>
  </si>
  <si>
    <t>51 to 100</t>
  </si>
  <si>
    <t>Building always open with 
no "off hours"</t>
  </si>
  <si>
    <t>Electricity not used</t>
  </si>
  <si>
    <t>Heating equipment 
(more than one may apply)</t>
  </si>
  <si>
    <t>Heat pumps</t>
  </si>
  <si>
    <t>Furnaces</t>
  </si>
  <si>
    <t>Individual space heaters</t>
  </si>
  <si>
    <t>Boilers</t>
  </si>
  <si>
    <t>Packaged heating units</t>
  </si>
  <si>
    <t>Cooling equipment 
(more than one may apply)</t>
  </si>
  <si>
    <t>Residential-type central air
conditioners</t>
  </si>
  <si>
    <t>Individual air conditioners</t>
  </si>
  <si>
    <t>Central chillers</t>
  </si>
  <si>
    <t>Packaged air conditioning units</t>
  </si>
  <si>
    <t>Swamp coolers</t>
  </si>
  <si>
    <t>Main equipment replaced since 
1990 (more than one may apply)</t>
  </si>
  <si>
    <t>Heating</t>
  </si>
  <si>
    <t>Cooling</t>
  </si>
  <si>
    <t>Water-heating equipment</t>
  </si>
  <si>
    <t>Centralized system</t>
  </si>
  <si>
    <t>Distributed system</t>
  </si>
  <si>
    <t>Combination of centralized and
distributed system</t>
  </si>
  <si>
    <t>Lighting equipment types
(more than one may apply)</t>
  </si>
  <si>
    <t>Incandescent</t>
  </si>
  <si>
    <t>Standard fluorescent</t>
  </si>
  <si>
    <t>Compact fluorescent</t>
  </si>
  <si>
    <t>High-intensity discharge (HID)</t>
  </si>
  <si>
    <t>Halogen</t>
  </si>
  <si>
    <t>LED</t>
  </si>
  <si>
    <t>Refrigeration equipment
(more than one may apply)</t>
  </si>
  <si>
    <t>Any refrigeration</t>
  </si>
  <si>
    <t>Walk-in units</t>
  </si>
  <si>
    <t>Cases or cabinets</t>
  </si>
  <si>
    <t>Large cold storage areas</t>
  </si>
  <si>
    <t>Commercial ice makers</t>
  </si>
  <si>
    <t>Residential-type or compact units</t>
  </si>
  <si>
    <t>Vending machines</t>
  </si>
  <si>
    <t>No refrigeration</t>
  </si>
  <si>
    <t>Office equipment
(more than one may apply)</t>
  </si>
  <si>
    <t>Desktop computers</t>
  </si>
  <si>
    <t>With flat screen monitors</t>
  </si>
  <si>
    <t>With multiple monitors</t>
  </si>
  <si>
    <t>Laptop computers</t>
  </si>
  <si>
    <t>Dedicated servers</t>
  </si>
  <si>
    <t>Laser printers</t>
  </si>
  <si>
    <t>Inkjet printers</t>
  </si>
  <si>
    <t>FAX machines</t>
  </si>
  <si>
    <t>Photocopiers</t>
  </si>
  <si>
    <t>Number of desktop computers</t>
  </si>
  <si>
    <t>None</t>
  </si>
  <si>
    <t>1 to 4</t>
  </si>
  <si>
    <t>Number of laptop computers</t>
  </si>
  <si>
    <t>Number of dedicated servers</t>
  </si>
  <si>
    <t>50 or more</t>
  </si>
  <si>
    <t>Number of photocopiers</t>
  </si>
  <si>
    <t>2 to 4</t>
  </si>
  <si>
    <t>10 or more</t>
  </si>
  <si>
    <t>Number of TVs or video displays</t>
  </si>
  <si>
    <t>100 or more</t>
  </si>
  <si>
    <t>Food preparation or serving areas 
in non-food service buildings
(more than one may apply)</t>
  </si>
  <si>
    <t>Snack bar or concession stand</t>
  </si>
  <si>
    <t>Fast food or small restaurant</t>
  </si>
  <si>
    <t>Cafeteria or large restaurant</t>
  </si>
  <si>
    <t>Commercial kitchen/
food preparation area</t>
  </si>
  <si>
    <t>Small kitchen area</t>
  </si>
  <si>
    <t>Separate computer areas
(more than one may apply)</t>
  </si>
  <si>
    <t>Data center or server farm</t>
  </si>
  <si>
    <t>Computer-based training room</t>
  </si>
  <si>
    <t>Student or public computer center</t>
  </si>
  <si>
    <t>HVAC conservation features 
(more than one may apply)</t>
  </si>
  <si>
    <t>Economizer cycle</t>
  </si>
  <si>
    <t>Regular HVAC maintenance</t>
  </si>
  <si>
    <r>
      <t>Building automation system (BAS)</t>
    </r>
    <r>
      <rPr>
        <vertAlign val="superscript"/>
        <sz val="10"/>
        <color theme="1"/>
        <rFont val="Calibri"/>
        <family val="2"/>
        <scheme val="minor"/>
      </rPr>
      <t>2</t>
    </r>
  </si>
  <si>
    <t>Window and interior lighting 
features (more than one may
apply)</t>
  </si>
  <si>
    <t>Multipaned windows</t>
  </si>
  <si>
    <t>Tinted window glass</t>
  </si>
  <si>
    <t>Reflective window glass</t>
  </si>
  <si>
    <t>External overhangs or awnings</t>
  </si>
  <si>
    <t>Skylights or atriums</t>
  </si>
  <si>
    <t>Light scheduling</t>
  </si>
  <si>
    <t>Occupancy sensors</t>
  </si>
  <si>
    <t>Multi-level lighting or dimming</t>
  </si>
  <si>
    <t>Daylight harvesting</t>
  </si>
  <si>
    <t>Demand responsive lighting</t>
  </si>
  <si>
    <r>
      <t>Building automation system (BAS) for lighting</t>
    </r>
    <r>
      <rPr>
        <vertAlign val="superscript"/>
        <sz val="10"/>
        <color theme="1"/>
        <rFont val="Calibri"/>
        <family val="2"/>
        <scheme val="minor"/>
      </rPr>
      <t>2</t>
    </r>
  </si>
  <si>
    <t>Equipment usage reduced when 
building not in full use 
(more than one may apply)</t>
  </si>
  <si>
    <t>Lighting</t>
  </si>
  <si>
    <t>Annual consumption
(kilowatthours)</t>
  </si>
  <si>
    <t>10,000 or less</t>
  </si>
  <si>
    <t xml:space="preserve">10,001 to 50,000 </t>
  </si>
  <si>
    <t>50,001 to 100,000</t>
  </si>
  <si>
    <t xml:space="preserve">100,001 to 500,000 </t>
  </si>
  <si>
    <t>500,001 to 1,000,000</t>
  </si>
  <si>
    <t>1,000,001 to 5,000,000</t>
  </si>
  <si>
    <t xml:space="preserve">Over 5,000,000 </t>
  </si>
  <si>
    <r>
      <t xml:space="preserve">     </t>
    </r>
    <r>
      <rPr>
        <vertAlign val="superscript"/>
        <sz val="9"/>
        <color theme="1"/>
        <rFont val="Calibri"/>
        <family val="2"/>
        <scheme val="minor"/>
      </rPr>
      <t>1</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 xml:space="preserve"> 2</t>
    </r>
    <r>
      <rPr>
        <sz val="9"/>
        <color theme="1"/>
        <rFont val="Calibri"/>
        <family val="2"/>
        <scheme val="minor"/>
      </rPr>
      <t>In earlier CBECS publications, BAS was referred to as</t>
    </r>
    <r>
      <rPr>
        <i/>
        <sz val="9"/>
        <color theme="1"/>
        <rFont val="Calibri"/>
        <family val="2"/>
        <scheme val="minor"/>
      </rPr>
      <t xml:space="preserve"> Energy Management and Control System (EMCS).</t>
    </r>
    <r>
      <rPr>
        <sz val="9"/>
        <color theme="1"/>
        <rFont val="Calibri"/>
        <family val="2"/>
        <scheme val="minor"/>
      </rPr>
      <t xml:space="preserve">
     Q = Data withheld either because the Relative Standard Error (RSE) was greater than 50 percent or fewer than 20 buildings were sampled.
     N = No cases in reporting sample.
     (*) = Value rounds to zero in the units displayed.
     Notes:  ● Because of rounding, data may not sum to totals.  ● See the </t>
    </r>
    <r>
      <rPr>
        <i/>
        <sz val="9"/>
        <color theme="1"/>
        <rFont val="Calibri"/>
        <family val="2"/>
        <scheme val="minor"/>
      </rPr>
      <t>Guide to the 2012 CBECS Detailed Tables</t>
    </r>
    <r>
      <rPr>
        <sz val="9"/>
        <color theme="1"/>
        <rFont val="Calibri"/>
        <family val="2"/>
        <scheme val="minor"/>
      </rPr>
      <t xml:space="preserve"> or </t>
    </r>
    <r>
      <rPr>
        <i/>
        <sz val="9"/>
        <color theme="1"/>
        <rFont val="Calibri"/>
        <family val="2"/>
        <scheme val="minor"/>
      </rPr>
      <t xml:space="preserve">CBECS Terminology </t>
    </r>
    <r>
      <rPr>
        <sz val="9"/>
        <color theme="1"/>
        <rFont val="Calibri"/>
        <family val="2"/>
        <scheme val="minor"/>
      </rPr>
      <t>for definitions of terms used in these tables and/or comparison of differences with prior CBECS tables. Both references can be accessed from http://www.eia.gov/consumption/commercial/data/2012/ ● Site electricity is the amount of electricity delivered to commercial builidngs. Primary electricity, which is not included in the</t>
    </r>
    <r>
      <rPr>
        <i/>
        <sz val="9"/>
        <color theme="1"/>
        <rFont val="Calibri"/>
        <family val="2"/>
        <scheme val="minor"/>
      </rPr>
      <t xml:space="preserve"> Total of major fuels</t>
    </r>
    <r>
      <rPr>
        <sz val="9"/>
        <color theme="1"/>
        <rFont val="Calibri"/>
        <family val="2"/>
        <scheme val="minor"/>
      </rPr>
      <t xml:space="preserve">category, is site electricity plus the conversion losses in the generation, transmission, and distribution processes. ● Statistics for the </t>
    </r>
    <r>
      <rPr>
        <i/>
        <sz val="9"/>
        <color theme="1"/>
        <rFont val="Calibri"/>
        <family val="2"/>
        <scheme val="minor"/>
      </rPr>
      <t>Energy end uses</t>
    </r>
    <r>
      <rPr>
        <sz val="9"/>
        <color theme="1"/>
        <rFont val="Calibri"/>
        <family val="2"/>
        <scheme val="minor"/>
      </rPr>
      <t xml:space="preserve"> category represent total consumption in buildings that have the end use, not consumption specifically for that particular end use. ● HVAC = Heating, ventilation, and air conditioning.
     Source: U.S. Energy Information Administration, Office of Energy Consumption and Efficiency Statistics, Forms EIA-871A and E of the 2012 Commercial Buildings Energy Consumption Survey.</t>
    </r>
  </si>
  <si>
    <t>Table C27. Natural gas consumption and conditional energy intensity by Census division (part 1), 2012</t>
  </si>
  <si>
    <t>Total natural gas
consumption
(billion cubic feet)</t>
  </si>
  <si>
    <t>Total floorspace of 
buildings using natural gas
(million square feet)</t>
  </si>
  <si>
    <t>Natural gas
energy intensity
(cubic feet/square foot)</t>
  </si>
  <si>
    <t>Field</t>
  </si>
  <si>
    <t>Natural gas main</t>
  </si>
  <si>
    <t>Natural gas secondary</t>
  </si>
  <si>
    <t>Other excluding natural gas</t>
  </si>
  <si>
    <t>Annual consumption
(hundred cubic feet)</t>
  </si>
  <si>
    <t>1,000 or less</t>
  </si>
  <si>
    <t>5,001 to 10,000</t>
  </si>
  <si>
    <t xml:space="preserve">10,001 to 25,000 </t>
  </si>
  <si>
    <t xml:space="preserve">Over 100,000 </t>
  </si>
  <si>
    <r>
      <t xml:space="preserve">     </t>
    </r>
    <r>
      <rPr>
        <vertAlign val="superscript"/>
        <sz val="9"/>
        <color theme="1"/>
        <rFont val="Calibri"/>
        <family val="2"/>
        <scheme val="minor"/>
      </rPr>
      <t>1</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 xml:space="preserve"> 2</t>
    </r>
    <r>
      <rPr>
        <sz val="9"/>
        <color theme="1"/>
        <rFont val="Calibri"/>
        <family val="2"/>
        <scheme val="minor"/>
      </rPr>
      <t>In earlier CBECS publications, BAS was referred to as</t>
    </r>
    <r>
      <rPr>
        <i/>
        <sz val="9"/>
        <color theme="1"/>
        <rFont val="Calibri"/>
        <family val="2"/>
        <scheme val="minor"/>
      </rPr>
      <t xml:space="preserve"> Energy Management and Control System (EMCS).</t>
    </r>
    <r>
      <rPr>
        <sz val="9"/>
        <color theme="1"/>
        <rFont val="Calibri"/>
        <family val="2"/>
        <scheme val="minor"/>
      </rPr>
      <t xml:space="preserve">
     Q = Data withheld either because the Relative Standard Error (RSE) was greater than 50 percent or fewer than 20 buildings were sampled.
     N = No cases in reporting sample.
     (*) = Value rounds to zero in the units displayed.
     Notes:  ● Because of rounding, data may not sum to totals.  ● See the </t>
    </r>
    <r>
      <rPr>
        <i/>
        <sz val="9"/>
        <color theme="1"/>
        <rFont val="Calibri"/>
        <family val="2"/>
        <scheme val="minor"/>
      </rPr>
      <t>Guide to the 2012 CBECS Detailed Tables</t>
    </r>
    <r>
      <rPr>
        <sz val="9"/>
        <color theme="1"/>
        <rFont val="Calibri"/>
        <family val="2"/>
        <scheme val="minor"/>
      </rPr>
      <t xml:space="preserve"> or </t>
    </r>
    <r>
      <rPr>
        <i/>
        <sz val="9"/>
        <color theme="1"/>
        <rFont val="Calibri"/>
        <family val="2"/>
        <scheme val="minor"/>
      </rPr>
      <t xml:space="preserve">CBECS Terminology </t>
    </r>
    <r>
      <rPr>
        <sz val="9"/>
        <color theme="1"/>
        <rFont val="Calibri"/>
        <family val="2"/>
        <scheme val="minor"/>
      </rPr>
      <t>for definitions of terms used in these tables and/or comparison of differences with prior CBECS tables. Both references can be accessed from http://www.eia.gov/consumption/commercial/data/2012/ ● Statistics for the</t>
    </r>
    <r>
      <rPr>
        <i/>
        <sz val="9"/>
        <color theme="1"/>
        <rFont val="Calibri"/>
        <family val="2"/>
        <scheme val="minor"/>
      </rPr>
      <t xml:space="preserve"> Energy end uses</t>
    </r>
    <r>
      <rPr>
        <sz val="9"/>
        <color theme="1"/>
        <rFont val="Calibri"/>
        <family val="2"/>
        <scheme val="minor"/>
      </rPr>
      <t xml:space="preserve"> category represent total consumption in buildings that have the end use, not consumption specifically for that particular end use. ● HVAC = Heating, ventilation, and air conditioning.
     Source: U.S. Energy Information Administration, Office of Energy Consumption and Efficiency Statistics, Forms EIA-871A and C of the 2012 Commercial Buildings Energy Consumption Survey.</t>
    </r>
  </si>
  <si>
    <t>Existing Building Performance Standards Workbook</t>
  </si>
  <si>
    <t>Carbon Neutral Cities Alliance</t>
  </si>
  <si>
    <t xml:space="preserve">This tool, along with the accompanying report, provides an approach  and calculations estimating technically achievable building energy performance targets that can be used to define standards of performance needed by cities to reach Zero Net Carbon (ZNC) goals. </t>
  </si>
  <si>
    <t>Each core city (Seattle, New York City, Santa Monica, and Washington, DC) has a tab. There is also a blank tab for additional cities to have performance standards calculated.</t>
  </si>
  <si>
    <t xml:space="preserve">Energy data by typology is not required to generate performance standards. However, the energy data available can be used to adjust baselines for the buildilng types, helping to correct for city-specific factors. </t>
  </si>
  <si>
    <t>Spreadsheet tool user guide</t>
  </si>
  <si>
    <t>The ‘City Template’ tab can be used to generate performance targets in other cities. If benchmarking data is available, it can be entered in the ‘Input Site EUI Data’ section as the median electricity and gas (or other combustion or delivered energy types) per building type, as well as with the count of buildings used to generate those medians. If insufficient samples of each building type are available, the tool uses CBECS data as the baseline energy use intensity data.</t>
  </si>
  <si>
    <t>The Building America Climate Zone is a drop-down menu, which can be entered by the user to set the climate region of the city. The selection sets the space heating and space cooling ratio multiplier that affects the end use estimation of each type of building.</t>
  </si>
  <si>
    <t>The types of fuel are separated into end uses based on climate zone and typology using CBECS data. Major typologies have breakouts based on analysis of these types of buildings in the Core Cities.</t>
  </si>
  <si>
    <t>Targets are generated as typology site EUI by applying reductions to each end use. Electricity end uses are reduced by 30% (can be a user variable). Gas end uses are reduced to account for minimized distribution inefficiencies. The Zero Net Carbon calculations assume gas equipment will be converted to equivalent end use capable electricity-driven equipment. Each end use has a different ratio applied based on the efficiency baseline and potential for equipment suited for that end use.</t>
  </si>
  <si>
    <t>The total new end uses are added back up to generate a whole building site EUI, shown as the target for the median building in each typology. The results are displayed in the ‘Targets Table’ section for each city.</t>
  </si>
  <si>
    <t>Instructions</t>
  </si>
  <si>
    <t>Enter Building Population and Available Energy Data</t>
  </si>
  <si>
    <t>Starting Points:</t>
  </si>
  <si>
    <r>
      <t>1)</t>
    </r>
    <r>
      <rPr>
        <sz val="7"/>
        <color theme="1"/>
        <rFont val="Arial"/>
        <family val="2"/>
      </rPr>
      <t xml:space="preserve">    </t>
    </r>
    <r>
      <rPr>
        <sz val="11"/>
        <color theme="1"/>
        <rFont val="Arial"/>
        <family val="2"/>
      </rPr>
      <t>Property tax – level data. Count and floor area by space use type, but no energy data.</t>
    </r>
  </si>
  <si>
    <r>
      <t>2)</t>
    </r>
    <r>
      <rPr>
        <sz val="7"/>
        <color theme="1"/>
        <rFont val="Arial"/>
        <family val="2"/>
      </rPr>
      <t xml:space="preserve">    </t>
    </r>
    <r>
      <rPr>
        <sz val="11"/>
        <color theme="1"/>
        <rFont val="Arial"/>
        <family val="2"/>
      </rPr>
      <t>Benchmarking-level data. Whole building energy data by energy type (gas + electricity) by space use type, but not end-use specific information.</t>
    </r>
  </si>
  <si>
    <r>
      <t>3)</t>
    </r>
    <r>
      <rPr>
        <sz val="7"/>
        <color theme="1"/>
        <rFont val="Arial"/>
        <family val="2"/>
      </rPr>
      <t xml:space="preserve">    </t>
    </r>
    <r>
      <rPr>
        <sz val="11"/>
        <color theme="1"/>
        <rFont val="Arial"/>
        <family val="2"/>
      </rPr>
      <t>End-use – level data. Energy type data specific to each end use from audit or survey data.</t>
    </r>
  </si>
  <si>
    <t>Descriptions of building types are on the table on this Readme tab.</t>
  </si>
  <si>
    <t>Starting Point 1: enter count and floor area by space use type into the respective columns. Select Building America Climate Zone and make any edits to the heating and electricity EUI savings estimates, if desired, or leave defaults. Targets are developed based on estimated end use proportions and energy type totals from CBECS information and climate adjustments.</t>
  </si>
  <si>
    <t>Building Type Definitions</t>
  </si>
  <si>
    <r>
      <t xml:space="preserve">Description for this Analysis
CBECS definitions: </t>
    </r>
    <r>
      <rPr>
        <sz val="12"/>
        <color theme="0"/>
        <rFont val="Arial"/>
        <family val="2"/>
      </rPr>
      <t xml:space="preserve">https://www.eia.gov/consumption/commercial/building-type-definitions.php </t>
    </r>
  </si>
  <si>
    <t>Starting Point 3:  enter count, floor area, and energy use medians for gas and electricity EUIs. Select Building America Climate Zone and make any edits to the heating and electricity EUI savings estimates, if desired, or leave defaults. In the section below, replace default end use estimates with actual end use EUIs per end use. note that typology names can also be changed in the “Baseline” section of the sheet if the end use default estimates are not needed.</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</si>
  <si>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</si>
  <si>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Energy-specific GHG intensity coefficients: The GHG coefficient for natural gas is a fixed number as it does not change depending on location or type of use (assuming it is all burned in some way). The GHG coefficient for electricity is looked up from the table on this Readme tab.</t>
  </si>
  <si>
    <t>Electricity GHG Coefficients for Core Cities</t>
  </si>
  <si>
    <t>Food Sales</t>
  </si>
  <si>
    <t>Buildings used for retail or wholesale of food.</t>
  </si>
  <si>
    <t>City</t>
  </si>
  <si>
    <t>Subregion</t>
  </si>
  <si>
    <t>EPA BL Lb/kBTU</t>
  </si>
  <si>
    <t>EPA NBL Lb/kBTU</t>
  </si>
  <si>
    <t>Used in GHG Inventory [Lb/kBTU]</t>
  </si>
  <si>
    <t>State-based</t>
  </si>
  <si>
    <t>Today GHG kg/kBTU</t>
  </si>
  <si>
    <t>ZNC GHG kg/kBTU</t>
  </si>
  <si>
    <t>Food Service</t>
  </si>
  <si>
    <t>Buildings used for preparation and sale of food and beverages for consumption.</t>
  </si>
  <si>
    <t>DC</t>
  </si>
  <si>
    <t>RFCE</t>
  </si>
  <si>
    <t>Health Care (Inpatient)</t>
  </si>
  <si>
    <t>Buildings used as diagnostic and treatment facilities for inpatient care.</t>
  </si>
  <si>
    <t>NYC</t>
  </si>
  <si>
    <t>NYCW</t>
  </si>
  <si>
    <t>Health Care (Outpatient)</t>
  </si>
  <si>
    <t>Buildings used as diagnostic and treatment facilities for outpatient care. Medical offices are included here if they use any type of diagnostic medical equipment (if they do not, they are categorized as an office building).</t>
  </si>
  <si>
    <t>Santa Mon</t>
  </si>
  <si>
    <t>CAMX</t>
  </si>
  <si>
    <t>CA</t>
  </si>
  <si>
    <t>Lodging</t>
  </si>
  <si>
    <t>Buildings used to offer multiple accommodations for short-term or long-term residents, including skilled nursing and other residential care buildings.</t>
  </si>
  <si>
    <t>Seattle</t>
  </si>
  <si>
    <t>NWPP</t>
  </si>
  <si>
    <t>WA</t>
  </si>
  <si>
    <t>Mercantile (Retail Other Than Mall)</t>
  </si>
  <si>
    <t>Buildings used for the sale and display of goods other than food.</t>
  </si>
  <si>
    <t>Mercantile (Enclosed and Strip Malls)</t>
  </si>
  <si>
    <t>Shopping malls comprised of multiple connected establishments.</t>
  </si>
  <si>
    <t>Office</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</si>
  <si>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</si>
  <si>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</si>
  <si>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</si>
  <si>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</si>
  <si>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</si>
  <si>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</si>
  <si>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</si>
  <si>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Service</t>
  </si>
  <si>
    <t>Buildings in which some type of service is provided, other than food service or retail sales of goods</t>
  </si>
  <si>
    <t>Warehouse and Storage</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</si>
  <si>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</si>
  <si>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</si>
  <si>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</si>
  <si>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</si>
  <si>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MF-Old-Tall</t>
  </si>
  <si>
    <t>Multifamily - Pre-1980 construction, taller than 3 stories</t>
  </si>
  <si>
    <t>MF-New-Tall</t>
  </si>
  <si>
    <t>Multifamily - Post-1979 construction, taller than 3 stories</t>
  </si>
  <si>
    <t>MF-Short</t>
  </si>
  <si>
    <t>Multifamily - All ages, shorter than 4 stories</t>
  </si>
  <si>
    <t>Blue cells are input cells</t>
  </si>
  <si>
    <t>Enter City Name</t>
  </si>
  <si>
    <t>GHG Coefficients</t>
  </si>
  <si>
    <t>kgCO2e/kBTU</t>
  </si>
  <si>
    <t>Building America Climate Zone</t>
  </si>
  <si>
    <t>Starting Point 1</t>
  </si>
  <si>
    <t>Natural Gas</t>
  </si>
  <si>
    <t>Climate Approximated Core City
Overwrite for specific Core City
Used for major typology targets</t>
  </si>
  <si>
    <t>Electricity Baseline
Average Annual</t>
  </si>
  <si>
    <t>Annual average GHG coefficient - does NOT consider marginal dispatch  or non-baseload</t>
  </si>
  <si>
    <t>Electricity Interim</t>
  </si>
  <si>
    <t>Electricity ZNC - compatible</t>
  </si>
  <si>
    <t>Input Site EUI Data - Starting Point 2</t>
  </si>
  <si>
    <t>kBTU/SF</t>
  </si>
  <si>
    <t>Buildings</t>
  </si>
  <si>
    <t>SF</t>
  </si>
  <si>
    <t>Paste in median gas and electricity site EUI per building type</t>
  </si>
  <si>
    <t>Baseline</t>
  </si>
  <si>
    <t>Interim - EE Standard Target</t>
  </si>
  <si>
    <t>ZNC - Standard Target</t>
  </si>
  <si>
    <t>ZNC Reduced Consumption Target</t>
  </si>
  <si>
    <t>Greenhouse Gas Intensity [kgCO2e/SF/yr]</t>
  </si>
  <si>
    <t>Installation Cost Intensity for Retrofits [$/SF]</t>
  </si>
  <si>
    <r>
      <t xml:space="preserve">Primary Building Activity
</t>
    </r>
    <r>
      <rPr>
        <b/>
        <i/>
        <sz val="10"/>
        <rFont val="Arial"/>
        <family val="2"/>
      </rPr>
      <t>Default is CBECS types + Multifamily</t>
    </r>
  </si>
  <si>
    <t>Median Gas EUI</t>
  </si>
  <si>
    <t>Median Elec EUI</t>
  </si>
  <si>
    <t>Covered Floor Area</t>
  </si>
  <si>
    <t>Gas EUI</t>
  </si>
  <si>
    <t>Elec EUI</t>
  </si>
  <si>
    <t>Site EUI</t>
  </si>
  <si>
    <t>GHG &amp; Cost Impact</t>
  </si>
  <si>
    <t>Interim</t>
  </si>
  <si>
    <t>ZNC compatible</t>
  </si>
  <si>
    <t>Baseline BAU Cost</t>
  </si>
  <si>
    <t>ZNC compatible systems</t>
  </si>
  <si>
    <t>Increased cost for ZNC compatibility
% above BAU</t>
  </si>
  <si>
    <t>Carbon Abatement Cost [$/kgCO2e/yr]</t>
  </si>
  <si>
    <t>Health care Inpatient</t>
  </si>
  <si>
    <t>Health care Outpatient</t>
  </si>
  <si>
    <t>Mercantile Enclosed and strip malls</t>
  </si>
  <si>
    <t>Mercantile Retail (other than mall)</t>
  </si>
  <si>
    <t>Multifamily</t>
  </si>
  <si>
    <t>Public order and safety</t>
  </si>
  <si>
    <t>Warehouse and storage</t>
  </si>
  <si>
    <t>Target Analysis</t>
  </si>
  <si>
    <t>Energy Efficiency (Interim) Target</t>
  </si>
  <si>
    <t>Baseline Site EUI</t>
  </si>
  <si>
    <t>Starting Point 3</t>
  </si>
  <si>
    <t>Baseline Estimate of Elec End Use Site EUI</t>
  </si>
  <si>
    <t>Baseline Estimate of Gas End Use Site EUI</t>
  </si>
  <si>
    <t>Gas End Uses</t>
  </si>
  <si>
    <t>Electrification Target</t>
  </si>
  <si>
    <t>Large Enough BM Sample?</t>
  </si>
  <si>
    <t>Principal Building Activity</t>
  </si>
  <si>
    <t>Energy Data Source</t>
  </si>
  <si>
    <t>Total Site</t>
  </si>
  <si>
    <t>Total Elec</t>
  </si>
  <si>
    <t>Elec Cool</t>
  </si>
  <si>
    <t>Elec Other</t>
  </si>
  <si>
    <t>Total Gas</t>
  </si>
  <si>
    <t>Gas Heat</t>
  </si>
  <si>
    <t>Gas WH</t>
  </si>
  <si>
    <t>Gas Cook</t>
  </si>
  <si>
    <t>Gas Other</t>
  </si>
  <si>
    <t>Space Heating</t>
  </si>
  <si>
    <t>Water Heating</t>
  </si>
  <si>
    <t>Cooking</t>
  </si>
  <si>
    <t>Gas Target</t>
  </si>
  <si>
    <t>Elec Target</t>
  </si>
  <si>
    <t>(Former) Gas Target</t>
  </si>
  <si>
    <t>Site EUI Target</t>
  </si>
  <si>
    <t>BAU Equipment Replacement Cost</t>
  </si>
  <si>
    <t>Electrification Cost</t>
  </si>
  <si>
    <t>Space Cooling Ratio Multiplier</t>
  </si>
  <si>
    <t>Space Heating Ratio Multiplier</t>
  </si>
  <si>
    <t>Electrification + Reduced heating consumption</t>
  </si>
  <si>
    <t>Elec</t>
  </si>
  <si>
    <t>Gas</t>
  </si>
  <si>
    <t>Heating Fuel</t>
  </si>
  <si>
    <t>DHW Fuel</t>
  </si>
  <si>
    <t>Other Fuel</t>
  </si>
  <si>
    <t>Other Elec</t>
  </si>
  <si>
    <t>Cooling Elec</t>
  </si>
  <si>
    <t>Hotel-Dorm-Lodging</t>
  </si>
  <si>
    <t>Passive House EnerPhit Requirement for space heating load</t>
  </si>
  <si>
    <t>Passive House EnerPhit Requirement for space cooing load</t>
  </si>
  <si>
    <t xml:space="preserve">Source: Table 2, Cool-temperate climate in Criteria for the Passive House, EnerPhit and PHI Low Energy Building Standard (IP Version), version 9f. </t>
  </si>
  <si>
    <t>Target</t>
  </si>
  <si>
    <t>Building Type</t>
  </si>
  <si>
    <t>Multifamily (1-3)</t>
  </si>
  <si>
    <t>Multifamily (4-6)</t>
  </si>
  <si>
    <t>Multifamily (7+)</t>
  </si>
  <si>
    <t>Dry Goods Retail</t>
  </si>
  <si>
    <t>Grocery</t>
  </si>
  <si>
    <t>Hospital</t>
  </si>
  <si>
    <t>Hotel Motel</t>
  </si>
  <si>
    <t>Other Commercial</t>
  </si>
  <si>
    <t>Restaurant</t>
  </si>
  <si>
    <t>School</t>
  </si>
  <si>
    <t>University</t>
  </si>
  <si>
    <t>UW</t>
  </si>
  <si>
    <t xml:space="preserve">Each end use is analyzed based on existing equipment performance ratings and prices (as of 2019) in the boxed sections. </t>
  </si>
  <si>
    <t>Summary of Cost Estimates for Gas Equipment Replacement</t>
  </si>
  <si>
    <t>Replacement Cycle (year lifespan of equipment) - not used for calcs</t>
  </si>
  <si>
    <t>Energy</t>
  </si>
  <si>
    <t>New electricity EUI as a percentage of old gas EUI</t>
  </si>
  <si>
    <t>Rough Cost Estimate</t>
  </si>
  <si>
    <t>BAU cost/kBTU for gas appliances (1 replacement cycle) One-time cost to replace with gas appliance</t>
  </si>
  <si>
    <t>Cost/kBTU for electric appliances</t>
  </si>
  <si>
    <t>Source for expected life</t>
  </si>
  <si>
    <t>Cost ratio elec/gas incremental</t>
  </si>
  <si>
    <t xml:space="preserve">https://caenergywise.com/calculators/electric-fryers/#calc  </t>
  </si>
  <si>
    <t>Annual COP</t>
  </si>
  <si>
    <t>Cost/ kBTU for installation / replacement</t>
  </si>
  <si>
    <t>Gas Boiler</t>
  </si>
  <si>
    <t>Air Source Heat Pump</t>
  </si>
  <si>
    <t>Space heating gas to electric converstion</t>
  </si>
  <si>
    <t>Cost</t>
  </si>
  <si>
    <t>Rating of sample (First Hour Rating)</t>
  </si>
  <si>
    <t>Cost Source</t>
  </si>
  <si>
    <t>Annual Output [kBTU]</t>
  </si>
  <si>
    <t>Gas Instantaneous Water Heating</t>
  </si>
  <si>
    <t>Thermal Efficiency</t>
  </si>
  <si>
    <t>Westinghouse on HomeDepot</t>
  </si>
  <si>
    <t xml:space="preserve">https://www.energystar.gov/productfinder/product/certified-water-heaters/details/2323847 </t>
  </si>
  <si>
    <t>Heat Pump Water Heater</t>
  </si>
  <si>
    <t>COPh</t>
  </si>
  <si>
    <t>SanCO2 on 475 Supply</t>
  </si>
  <si>
    <t>Water Heating gas to electric conversion</t>
  </si>
  <si>
    <t>of gas EUI</t>
  </si>
  <si>
    <t>of gas appliance cost</t>
  </si>
  <si>
    <t>Commercial Cooking</t>
  </si>
  <si>
    <t>Energy Star Requirements Comparison</t>
  </si>
  <si>
    <t>%</t>
  </si>
  <si>
    <t>kBTU/hr</t>
  </si>
  <si>
    <t>Runtime (Hours)</t>
  </si>
  <si>
    <t>Gas Efficiency [%]</t>
  </si>
  <si>
    <t>Electric Efficiency [%]</t>
  </si>
  <si>
    <t>Gas Standby [kBTU/hr]</t>
  </si>
  <si>
    <t>Electric Standby [kBTU/hr]</t>
  </si>
  <si>
    <t>Hotel</t>
  </si>
  <si>
    <t>Catering</t>
  </si>
  <si>
    <t>Restaurant/Bar</t>
  </si>
  <si>
    <t>Average Runtime</t>
  </si>
  <si>
    <t>Gas Appliance</t>
  </si>
  <si>
    <t>Elec Appliance</t>
  </si>
  <si>
    <t>Incremental Cost</t>
  </si>
  <si>
    <t>Sample Capacity kBTU/hr</t>
  </si>
  <si>
    <t>Perf Criteria Source</t>
  </si>
  <si>
    <t>Cost Source: Gas</t>
  </si>
  <si>
    <t>Cost Source: Elec</t>
  </si>
  <si>
    <t>Commercial Oven Efficiency differences, gas vs electric</t>
  </si>
  <si>
    <t>Commercial Oven</t>
  </si>
  <si>
    <t>45kBTU/hr for gas, 11kW for electric</t>
  </si>
  <si>
    <t>commercial_ovens</t>
  </si>
  <si>
    <t>bdo-100-g</t>
  </si>
  <si>
    <t>bdo-100-e</t>
  </si>
  <si>
    <t>Commercial Fryers Efficiency differences, gas vs electric</t>
  </si>
  <si>
    <t>Commercial Fryers</t>
  </si>
  <si>
    <t>14kW for electric</t>
  </si>
  <si>
    <t>commercial_fryers</t>
  </si>
  <si>
    <t>Frymaster FGPL #30</t>
  </si>
  <si>
    <t>Frymaster FPEL #17</t>
  </si>
  <si>
    <t>Commercial Griddles Efficiency differences, gas vs electric</t>
  </si>
  <si>
    <t>Commercial Griddles</t>
  </si>
  <si>
    <t>42kBTU/hr for gas9.5kW for electric</t>
  </si>
  <si>
    <t>commercial_griddles</t>
  </si>
  <si>
    <t>Accutemp GGF from Katom</t>
  </si>
  <si>
    <t>Accutemp EGD from Katom</t>
  </si>
  <si>
    <t>Hours of Operation [hrs/day], source: Table 10 of:</t>
  </si>
  <si>
    <t>gas capacity</t>
  </si>
  <si>
    <t>electric capacity</t>
  </si>
  <si>
    <t>https://fishnick.com/publications/fieldstudies/Energy_Reduction_in_Commercial_Kitchens_SFIA.pdf</t>
  </si>
  <si>
    <t>kWh savings</t>
  </si>
  <si>
    <t>savings %</t>
  </si>
  <si>
    <t>kWh use per year</t>
  </si>
  <si>
    <t>Utilization rate</t>
  </si>
  <si>
    <t>Cost Ratio (100% = same as gas, less than 100% is cost savings)</t>
  </si>
  <si>
    <t>Weighted Gas efficiency</t>
  </si>
  <si>
    <t>Install cost per annual kBTU use</t>
  </si>
  <si>
    <t>Equipment Life [years]</t>
  </si>
  <si>
    <t xml:space="preserve">https://caenergywise.com/calculators/electric-fryers/#calc </t>
  </si>
  <si>
    <t>full load ratio</t>
  </si>
  <si>
    <t>Electric/Gas Ratio for fuel switch, weighted by run hours</t>
  </si>
  <si>
    <t>CBECS Gas Cooking EUI</t>
  </si>
  <si>
    <t>ENERGYSTAR Electric Conversion Cooking EUI</t>
  </si>
  <si>
    <t>Weighted Electric efficiency</t>
  </si>
  <si>
    <t>Seattle Process Gas EUI</t>
  </si>
  <si>
    <t>Seattle Electrified Process Gas EUI</t>
  </si>
  <si>
    <t>Cooking gas to electric conversion</t>
  </si>
  <si>
    <t>Laundry</t>
  </si>
  <si>
    <t>CEF</t>
  </si>
  <si>
    <t>Annual Energy Use</t>
  </si>
  <si>
    <t>Gas appliance efficiency= ENERGY STAR rating for high-efficiency gas vented dryer = 3.48 CEF</t>
  </si>
  <si>
    <t>Maytag 9.2ft3 on Homedepot</t>
  </si>
  <si>
    <t>https://www.energystar.gov/productfinder/product/certified-clothes-dryers/details/2282558</t>
  </si>
  <si>
    <t>Electric appliance efficiency=ENERGY STAR rating for large electric dryer = 3.93 CEF</t>
  </si>
  <si>
    <t>https://www.energystar.gov/products/appliances/clothes_dryers/key_product_criteria</t>
  </si>
  <si>
    <t>Laundry gas to electric conversion</t>
  </si>
  <si>
    <t>Cooling Use Ratio</t>
  </si>
  <si>
    <t>Climate-analogous core city for additional cities</t>
  </si>
  <si>
    <t>CBECS2012 E7 Extract:  Natural Gas Energy Use Intensity [kBTU/SF]</t>
  </si>
  <si>
    <t>National Averages</t>
  </si>
  <si>
    <t>CBECS2012 E4 Extract:  Electricity Energy Use Intensity [kBTU/SF]</t>
  </si>
  <si>
    <t>Baseline Elec EUI</t>
  </si>
  <si>
    <t>Cooling EUI</t>
  </si>
  <si>
    <t>Food sales</t>
  </si>
  <si>
    <t>Food service</t>
  </si>
  <si>
    <t>Health care</t>
  </si>
  <si>
    <t>Mercantile</t>
  </si>
  <si>
    <t>Public assembly</t>
  </si>
  <si>
    <t>Religious worship</t>
  </si>
  <si>
    <t>National average Electricity EUI sum, not including space heating, water heating, or cooking</t>
  </si>
  <si>
    <t>All else</t>
  </si>
  <si>
    <t>% heating</t>
  </si>
  <si>
    <t>%cooling</t>
  </si>
  <si>
    <t>Hotel, MF, and Office Target Lookup</t>
  </si>
  <si>
    <t xml:space="preserve">This table compiles targets for multiple typologies and the four core cities into a single table that can be used for lookups elsewhere in the workbook. </t>
  </si>
  <si>
    <t>Row ID for reference</t>
  </si>
  <si>
    <t>Combined name for string lookup</t>
  </si>
  <si>
    <t>Typology</t>
  </si>
  <si>
    <t>Heating Elec</t>
  </si>
  <si>
    <t>DHW Elec</t>
  </si>
  <si>
    <t>Fuel Conversion</t>
  </si>
  <si>
    <t>Target 1 (Interim Optimization)</t>
  </si>
  <si>
    <t>Carry ratio of DERPA path 1 fuel space heating EUI over baseline space heating EUI</t>
  </si>
  <si>
    <t>Apply ratio to other cities by finding average fuel space heating EUI in CBECS or RECS data</t>
  </si>
  <si>
    <t>Step 1</t>
  </si>
  <si>
    <t>NYC DERPA 2050 End Points</t>
  </si>
  <si>
    <t>MF-PrW7-  Site EUI</t>
  </si>
  <si>
    <t>|</t>
  </si>
  <si>
    <t>DERPA NYC 2050 Endpoints</t>
  </si>
  <si>
    <t>Path</t>
  </si>
  <si>
    <t>Base</t>
  </si>
  <si>
    <t>DHW</t>
  </si>
  <si>
    <t>&gt;50% Fuel Use</t>
  </si>
  <si>
    <t>CA Elec</t>
  </si>
  <si>
    <t>Tenant Elec</t>
  </si>
  <si>
    <t>Gas Misc</t>
  </si>
  <si>
    <t>nDC = 260</t>
  </si>
  <si>
    <t>MF-PrW7- Fuel EUI</t>
  </si>
  <si>
    <t>nNYC = 4962</t>
  </si>
  <si>
    <t>MF-PrW7- Elec EUI</t>
  </si>
  <si>
    <t>nSeattle = 62</t>
  </si>
  <si>
    <t>Total Site EUI</t>
  </si>
  <si>
    <t>Step 2</t>
  </si>
  <si>
    <t xml:space="preserve">Site EUI </t>
  </si>
  <si>
    <t>Santa Mon.</t>
  </si>
  <si>
    <t>[kBTU/SF]</t>
  </si>
  <si>
    <t>Interim. Target</t>
  </si>
  <si>
    <t>EE2</t>
  </si>
  <si>
    <t>EE3</t>
  </si>
  <si>
    <t>Int. Target</t>
  </si>
  <si>
    <r>
      <t xml:space="preserve">Path </t>
    </r>
    <r>
      <rPr>
        <sz val="10"/>
        <color rgb="FF000000"/>
        <rFont val="Wingdings"/>
        <charset val="2"/>
      </rPr>
      <t>à</t>
    </r>
    <r>
      <rPr>
        <sz val="10"/>
        <color rgb="FF000000"/>
        <rFont val="Arial"/>
        <family val="2"/>
      </rPr>
      <t xml:space="preserve"> </t>
    </r>
  </si>
  <si>
    <t>Today - Base</t>
  </si>
  <si>
    <t>Other Electricity</t>
  </si>
  <si>
    <t>FEUI</t>
  </si>
  <si>
    <t>EEUI</t>
  </si>
  <si>
    <t>Just buildings with 15-25kBTU/SF Electricity and &gt;50% fuel use</t>
  </si>
  <si>
    <t>RMI NZEc Threshold</t>
  </si>
  <si>
    <t>Seattle EUI Target:</t>
  </si>
  <si>
    <t>nDC = 162</t>
  </si>
  <si>
    <t>nNYC = 3164</t>
  </si>
  <si>
    <t>nSeattle = 32</t>
  </si>
  <si>
    <t>Fuel GHGI</t>
  </si>
  <si>
    <t>Elec GHGI</t>
  </si>
  <si>
    <t>Total GHGI</t>
  </si>
  <si>
    <t>"Carbon Neutral" = SCL Today</t>
  </si>
  <si>
    <t>2050 Targets</t>
  </si>
  <si>
    <t xml:space="preserve">Path à </t>
  </si>
  <si>
    <t>Today</t>
  </si>
  <si>
    <t>DHW + Cooking = 20kBTU/SF</t>
  </si>
  <si>
    <t>See RECS Tab</t>
  </si>
  <si>
    <t>Seattle and DC Heating = 35 - 20 = 15 kBTU/SF</t>
  </si>
  <si>
    <t>From chart above</t>
  </si>
  <si>
    <t>NYC Heating = 68 - 20 = 48 kBTU/SF</t>
  </si>
  <si>
    <t>Electric DHW (assuming electric resistance)</t>
  </si>
  <si>
    <t>Electric Cooking</t>
  </si>
  <si>
    <t>All Electric Buildings Today (&gt;80% Electric Site EUI)</t>
  </si>
  <si>
    <t>Elec EUI 5-120 kBTU/SF</t>
  </si>
  <si>
    <t>Built 1950-1979</t>
  </si>
  <si>
    <t>nDC = 22</t>
  </si>
  <si>
    <t>nNYC = 280</t>
  </si>
  <si>
    <t>nSeattle = 71</t>
  </si>
  <si>
    <t>Step 4: Compilation of Targets</t>
  </si>
  <si>
    <t>Plug loads and electrical end uses = 15-25 kBTU/SF</t>
  </si>
  <si>
    <t>DHW + cooking = 12</t>
  </si>
  <si>
    <t>Heating = 15-20 for NYC and Seattle, 10-15 for DC? Small sample sizes are an issue</t>
  </si>
  <si>
    <t>Baseline and Previous Analyses</t>
  </si>
  <si>
    <t>Most buildings are post-1980 construction, so from TWG analysis, use MF Post 1980</t>
  </si>
  <si>
    <t>MF-Mdrn8+</t>
  </si>
  <si>
    <t>End Use</t>
  </si>
  <si>
    <t>Starting Point Source</t>
  </si>
  <si>
    <t>Targets Source</t>
  </si>
  <si>
    <t>Heating Source</t>
  </si>
  <si>
    <t>MF-Mdrn DERPA typology data</t>
  </si>
  <si>
    <t>Seattle EUI Targets for gas-based DHW</t>
  </si>
  <si>
    <t>End use analysis ratio applied to starting point</t>
  </si>
  <si>
    <t>MF-New-Tall typology data</t>
  </si>
  <si>
    <t>MF-Modern DERPA typology data</t>
  </si>
  <si>
    <t>DERPA plug load reduction + electrification of process loads per End Use analysis ratio</t>
  </si>
  <si>
    <t>Other Gas</t>
  </si>
  <si>
    <t>CEUS data for lodging</t>
  </si>
  <si>
    <t>Reduced to zero</t>
  </si>
  <si>
    <t>Gas Heating EUI</t>
  </si>
  <si>
    <t>Fuel EUI</t>
  </si>
  <si>
    <t>kBTU/hr/SF peak</t>
  </si>
  <si>
    <t>Heating Load Factor</t>
  </si>
  <si>
    <t>Cooling Load Factor</t>
  </si>
  <si>
    <t>BD Data</t>
  </si>
  <si>
    <t>Data Check (0=good data)</t>
  </si>
  <si>
    <t>0</t>
  </si>
  <si>
    <t>Building Count</t>
  </si>
  <si>
    <t>Average Site EUI</t>
  </si>
  <si>
    <t>CNCA Typology</t>
  </si>
  <si>
    <t>Decade Built</t>
  </si>
  <si>
    <t>Column Labels</t>
  </si>
  <si>
    <t>Count of Elec EUI [kBTU/SF]</t>
  </si>
  <si>
    <t>Count of Thermal EUI [kBTU/SF]</t>
  </si>
  <si>
    <t>Row Labels</t>
  </si>
  <si>
    <t>Fuel</t>
  </si>
  <si>
    <t>Mix</t>
  </si>
  <si>
    <t>Non Elec EUI</t>
  </si>
  <si>
    <t>Post 1980</t>
  </si>
  <si>
    <t>pre-2015</t>
  </si>
  <si>
    <t>post-2015</t>
  </si>
  <si>
    <t xml:space="preserve">This Typology is expected to have similar baseline energy use to larger buildings of similar vintage. </t>
  </si>
  <si>
    <t>Only Seattle has reported energy data for both short and tall buildings</t>
  </si>
  <si>
    <t>MF-PsW8+</t>
  </si>
  <si>
    <t>No elevators, subtract</t>
  </si>
  <si>
    <t>COM-PrW8+</t>
  </si>
  <si>
    <t>Gas Heating</t>
  </si>
  <si>
    <t>Electric HVAC</t>
  </si>
  <si>
    <t>Large or Small</t>
  </si>
  <si>
    <t xml:space="preserve"> not Large</t>
  </si>
  <si>
    <t>Sum of Rep_Gross_Floor_Area</t>
  </si>
  <si>
    <t>Table E4. Electricity consumption intensities (Btu) by end use, 2012</t>
  </si>
  <si>
    <r>
      <t>Electricity energy intensity</t>
    </r>
    <r>
      <rPr>
        <b/>
        <vertAlign val="superscript"/>
        <sz val="10"/>
        <color theme="1"/>
        <rFont val="Calibri"/>
        <family val="2"/>
        <scheme val="minor"/>
      </rPr>
      <t>1</t>
    </r>
    <r>
      <rPr>
        <b/>
        <sz val="10"/>
        <color theme="1"/>
        <rFont val="Calibri"/>
        <family val="2"/>
        <scheme val="minor"/>
      </rPr>
      <t xml:space="preserve"> (thousand Btu/square foot in buildings using electricity for the end use)</t>
    </r>
  </si>
  <si>
    <t>Total</t>
  </si>
  <si>
    <t>Space
heat-
ing</t>
  </si>
  <si>
    <t>Cool-
ing</t>
  </si>
  <si>
    <t>Venti-
lation</t>
  </si>
  <si>
    <t>Water
heat-
ing</t>
  </si>
  <si>
    <t>Light-
ing</t>
  </si>
  <si>
    <t>Cook-
ing</t>
  </si>
  <si>
    <t>Refrig-
eration</t>
  </si>
  <si>
    <t>Office
equip-
ment</t>
  </si>
  <si>
    <t>Com-
puting</t>
  </si>
  <si>
    <t>Census region and division</t>
  </si>
  <si>
    <t>Northeast</t>
  </si>
  <si>
    <t xml:space="preserve">New England </t>
  </si>
  <si>
    <t>Middle Atlantic</t>
  </si>
  <si>
    <t>Midwest</t>
  </si>
  <si>
    <t>East North Central</t>
  </si>
  <si>
    <t>West North Central</t>
  </si>
  <si>
    <t>South</t>
  </si>
  <si>
    <t xml:space="preserve">South Atlantic </t>
  </si>
  <si>
    <t>East South Central</t>
  </si>
  <si>
    <t>West South Central</t>
  </si>
  <si>
    <t>West</t>
  </si>
  <si>
    <r>
      <t>Climate region</t>
    </r>
    <r>
      <rPr>
        <b/>
        <vertAlign val="superscript"/>
        <sz val="10"/>
        <color theme="1"/>
        <rFont val="Calibri"/>
        <family val="2"/>
        <scheme val="minor"/>
      </rPr>
      <t>2</t>
    </r>
  </si>
  <si>
    <r>
      <t>Building automation system (BAS)</t>
    </r>
    <r>
      <rPr>
        <vertAlign val="superscript"/>
        <sz val="10"/>
        <color theme="1"/>
        <rFont val="Calibri"/>
        <family val="2"/>
        <scheme val="minor"/>
      </rPr>
      <t>3</t>
    </r>
  </si>
  <si>
    <r>
      <t>Building automation system (BAS) for lighting</t>
    </r>
    <r>
      <rPr>
        <vertAlign val="superscript"/>
        <sz val="10"/>
        <color theme="1"/>
        <rFont val="Calibri"/>
        <family val="2"/>
        <scheme val="minor"/>
      </rPr>
      <t>3</t>
    </r>
  </si>
  <si>
    <r>
      <t xml:space="preserve">     </t>
    </r>
    <r>
      <rPr>
        <vertAlign val="superscript"/>
        <sz val="9"/>
        <color theme="1"/>
        <rFont val="Calibri"/>
        <family val="2"/>
        <scheme val="minor"/>
      </rPr>
      <t>1</t>
    </r>
    <r>
      <rPr>
        <sz val="9"/>
        <color theme="1"/>
        <rFont val="Calibri"/>
        <family val="2"/>
        <scheme val="minor"/>
      </rPr>
      <t xml:space="preserve">The electricity intensity calculation (electricity consumption for the end use divided by the floorspace in buildings that use electricity for the particular end use) differs from the calculation used in the 2003 CBECS tables, in which the intensities were not conditional on the presence of the end use; the 2003 CBECS denominator was total floorspace in all buildings that used electricity. In this table, the intensities for each end use do not sum to the total electricity intensity, whereas they did in the 2003 CBECS table.
     </t>
    </r>
    <r>
      <rPr>
        <vertAlign val="superscript"/>
        <sz val="9"/>
        <color theme="1"/>
        <rFont val="Calibri"/>
        <family val="2"/>
        <scheme val="minor"/>
      </rPr>
      <t>2</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3</t>
    </r>
    <r>
      <rPr>
        <sz val="9"/>
        <color theme="1"/>
        <rFont val="Calibri"/>
        <family val="2"/>
        <scheme val="minor"/>
      </rPr>
      <t>In earlier CBECS publications, BAS was referred to as</t>
    </r>
    <r>
      <rPr>
        <i/>
        <sz val="9"/>
        <color theme="1"/>
        <rFont val="Calibri"/>
        <family val="2"/>
        <scheme val="minor"/>
      </rPr>
      <t xml:space="preserve"> Energy Management and Control System (EMCS).</t>
    </r>
    <r>
      <rPr>
        <sz val="9"/>
        <color theme="1"/>
        <rFont val="Calibri"/>
        <family val="2"/>
        <scheme val="minor"/>
      </rPr>
      <t xml:space="preserve">
     Q = Data withheld either because the Relative Standard Error (RSE) was greater than 50 percent or fewer than 20 buildings were sampled.
     N = No cases in reporting sample.
     (*) = Value rounds to zero in the units displayed.
     Notes:  ● Because of rounding, data may not sum to totals.  ● See the </t>
    </r>
    <r>
      <rPr>
        <i/>
        <sz val="9"/>
        <color theme="1"/>
        <rFont val="Calibri"/>
        <family val="2"/>
        <scheme val="minor"/>
      </rPr>
      <t>Guide to the 2012 CBECS Detailed Tables</t>
    </r>
    <r>
      <rPr>
        <sz val="9"/>
        <color theme="1"/>
        <rFont val="Calibri"/>
        <family val="2"/>
        <scheme val="minor"/>
      </rPr>
      <t xml:space="preserve"> or </t>
    </r>
    <r>
      <rPr>
        <i/>
        <sz val="9"/>
        <color theme="1"/>
        <rFont val="Calibri"/>
        <family val="2"/>
        <scheme val="minor"/>
      </rPr>
      <t xml:space="preserve">CBECS Terminology </t>
    </r>
    <r>
      <rPr>
        <sz val="9"/>
        <color theme="1"/>
        <rFont val="Calibri"/>
        <family val="2"/>
        <scheme val="minor"/>
      </rPr>
      <t>for definitions of terms used in these tables and/or comparison of differences with prior CBECS tables. Both references can be accessed from http://www.eia.gov/consumption/commercial/data/2012/ ● Site electricity is the amount of electricity delivered to commercial builidngs. Primary electricity, which is not included in the</t>
    </r>
    <r>
      <rPr>
        <i/>
        <sz val="9"/>
        <color theme="1"/>
        <rFont val="Calibri"/>
        <family val="2"/>
        <scheme val="minor"/>
      </rPr>
      <t xml:space="preserve"> Total of major fuels</t>
    </r>
    <r>
      <rPr>
        <sz val="9"/>
        <color theme="1"/>
        <rFont val="Calibri"/>
        <family val="2"/>
        <scheme val="minor"/>
      </rPr>
      <t xml:space="preserve">category, is site electricity plus the conversion losses in the generation, transmission, and distribution processes. ● Statistics for the </t>
    </r>
    <r>
      <rPr>
        <i/>
        <sz val="9"/>
        <color theme="1"/>
        <rFont val="Calibri"/>
        <family val="2"/>
        <scheme val="minor"/>
      </rPr>
      <t>Energy end uses</t>
    </r>
    <r>
      <rPr>
        <sz val="9"/>
        <color theme="1"/>
        <rFont val="Calibri"/>
        <family val="2"/>
        <scheme val="minor"/>
      </rPr>
      <t xml:space="preserve"> category represent total consumption in buildings that have the end use, not consumption specifically for that particular end use. ● HVAC = Heating, ventilation, and air conditioning.
     Source: U.S. Energy Information Administration, Office of Energy Consumption and Efficiency Statistics, Forms EIA-871A and E of the 2012 Commercial Buildings Energy Consumption Survey.</t>
    </r>
  </si>
  <si>
    <t>Table E7. Natural gas consumption and conditional energy intensities (Btu) by end use, 2012</t>
  </si>
  <si>
    <r>
      <t>Natural gas energy intensity</t>
    </r>
    <r>
      <rPr>
        <b/>
        <vertAlign val="superscript"/>
        <sz val="10"/>
        <color theme="1"/>
        <rFont val="Calibri"/>
        <family val="2"/>
        <scheme val="minor"/>
      </rPr>
      <t>1</t>
    </r>
    <r>
      <rPr>
        <b/>
        <sz val="10"/>
        <color theme="1"/>
        <rFont val="Calibri"/>
        <family val="2"/>
        <scheme val="minor"/>
      </rPr>
      <t xml:space="preserve">
(thousand Btu/square foot in buildings
using natural gas for the end use)</t>
    </r>
  </si>
  <si>
    <t>Total natural gas consumption 
(trillion Btu)</t>
  </si>
  <si>
    <t>Space
heating</t>
  </si>
  <si>
    <t>Water
heating</t>
  </si>
  <si>
    <t xml:space="preserve">Health care Inpatient </t>
  </si>
  <si>
    <t xml:space="preserve">Health care Outpatient </t>
  </si>
  <si>
    <t xml:space="preserve">Mercantile Retail (other than mall) </t>
  </si>
  <si>
    <t xml:space="preserve">Mercantile Enclosed and strip malls </t>
  </si>
  <si>
    <t>BA Climate Zone</t>
  </si>
  <si>
    <t>Heat Use Ratio</t>
  </si>
  <si>
    <r>
      <t xml:space="preserve">     </t>
    </r>
    <r>
      <rPr>
        <vertAlign val="superscript"/>
        <sz val="9"/>
        <color theme="1"/>
        <rFont val="Calibri"/>
        <family val="2"/>
        <scheme val="minor"/>
      </rPr>
      <t>1</t>
    </r>
    <r>
      <rPr>
        <sz val="9"/>
        <color theme="1"/>
        <rFont val="Calibri"/>
        <family val="2"/>
        <scheme val="minor"/>
      </rPr>
      <t xml:space="preserve"> The natural gas intensity calculation (total natural gas use for the end use divided by the floorspace in buildings that use natural gas for the particular end use) differs from the calculation used in the 2003 CBECS tables, in which the intensities were not conditional on the presence of the end use; the 2003 CBECS denominator was total floorspace in all buildings that use natural gas. In this table, the intensities for each end use do not sum to the total natural gas intensity, whereas they did in the 2003 CBECS table.
    </t>
    </r>
    <r>
      <rPr>
        <vertAlign val="superscript"/>
        <sz val="9"/>
        <color theme="1"/>
        <rFont val="Calibri"/>
        <family val="2"/>
        <scheme val="minor"/>
      </rPr>
      <t>2</t>
    </r>
    <r>
      <rPr>
        <sz val="9"/>
        <color theme="1"/>
        <rFont val="Calibri"/>
        <family val="2"/>
        <scheme val="minor"/>
      </rPr>
      <t xml:space="preserve">These climate regions were created by the Building America program, sponsored by the U.S. Department of Energy’s Office of Energy Efficiency and Renewable Energy (EERE). 
    </t>
    </r>
    <r>
      <rPr>
        <vertAlign val="superscript"/>
        <sz val="9"/>
        <color theme="1"/>
        <rFont val="Calibri"/>
        <family val="2"/>
        <scheme val="minor"/>
      </rPr>
      <t>3</t>
    </r>
    <r>
      <rPr>
        <sz val="9"/>
        <color theme="1"/>
        <rFont val="Calibri"/>
        <family val="2"/>
        <scheme val="minor"/>
      </rPr>
      <t>In earlier CBECS publications, BAS was referred to as</t>
    </r>
    <r>
      <rPr>
        <i/>
        <sz val="9"/>
        <color theme="1"/>
        <rFont val="Calibri"/>
        <family val="2"/>
        <scheme val="minor"/>
      </rPr>
      <t xml:space="preserve"> Energy Management and Control System (EMCS).</t>
    </r>
    <r>
      <rPr>
        <sz val="9"/>
        <color theme="1"/>
        <rFont val="Calibri"/>
        <family val="2"/>
        <scheme val="minor"/>
      </rPr>
      <t xml:space="preserve">
     Q = Data withheld either because the Relative Standard Error (RSE) was greater than 50 percent or fewer than 20 buildings were sampled.
     N = No cases in reporting sample.
     Notes:  ● Because of rounding, data may not sum to totals.  ● See the </t>
    </r>
    <r>
      <rPr>
        <i/>
        <sz val="9"/>
        <color theme="1"/>
        <rFont val="Calibri"/>
        <family val="2"/>
        <scheme val="minor"/>
      </rPr>
      <t>Guide to the 2012 CBECS Detailed Tables</t>
    </r>
    <r>
      <rPr>
        <sz val="9"/>
        <color theme="1"/>
        <rFont val="Calibri"/>
        <family val="2"/>
        <scheme val="minor"/>
      </rPr>
      <t xml:space="preserve"> or </t>
    </r>
    <r>
      <rPr>
        <i/>
        <sz val="9"/>
        <color theme="1"/>
        <rFont val="Calibri"/>
        <family val="2"/>
        <scheme val="minor"/>
      </rPr>
      <t xml:space="preserve">CBECS Terminology </t>
    </r>
    <r>
      <rPr>
        <sz val="9"/>
        <color theme="1"/>
        <rFont val="Calibri"/>
        <family val="2"/>
        <scheme val="minor"/>
      </rPr>
      <t xml:space="preserve">for definitions of terms used in these tables and/or comparison of differences with prior CBECS tables. Both references can be accessed from http://www.eia.gov/consumption/commercial/data/2012/ ● Statistics for the </t>
    </r>
    <r>
      <rPr>
        <i/>
        <sz val="9"/>
        <color theme="1"/>
        <rFont val="Calibri"/>
        <family val="2"/>
        <scheme val="minor"/>
      </rPr>
      <t>Energy end uses</t>
    </r>
    <r>
      <rPr>
        <sz val="9"/>
        <color theme="1"/>
        <rFont val="Calibri"/>
        <family val="2"/>
        <scheme val="minor"/>
      </rPr>
      <t xml:space="preserve"> category represent total consumption in buildings that have the end use, not consumption specifically for that particular end use. ● HVAC = Heating, ventilation, and air conditioning.
     Source: U.S. Energy Information Administration, Office of Energy Consumption and Efficiency Statistics, Forms EIA-871A and C of the 2012 Commercial Buildings Energy Consumption Survey.</t>
    </r>
  </si>
  <si>
    <t>Reference: Mapping EPA Space Types to CBECS Primary Building Activities</t>
  </si>
  <si>
    <t>U.S. Energy Use Intensity by Property Type</t>
  </si>
  <si>
    <t>Source</t>
  </si>
  <si>
    <t>https://portfoliomanager.energystar.gov/pdf/reference/US%20National%20Median%20Table.pdf</t>
  </si>
  <si>
    <t>CBECS Definitions</t>
  </si>
  <si>
    <t>https://www.eia.gov/consumption/commercial/building-type-definitions.php</t>
  </si>
  <si>
    <t>EPA Document</t>
  </si>
  <si>
    <t>Cleaning/formatting</t>
  </si>
  <si>
    <t>Typology Assignment</t>
  </si>
  <si>
    <t>Broad Category</t>
  </si>
  <si>
    <t>Primary Function</t>
  </si>
  <si>
    <t>Further Breakdown (where needed)</t>
  </si>
  <si>
    <t>Reference Data Source - Peer Group Comparison</t>
  </si>
  <si>
    <t>Tag</t>
  </si>
  <si>
    <t>CBECS Space Type with tag removed</t>
  </si>
  <si>
    <t>EPA's assignment of CBECS</t>
  </si>
  <si>
    <t>Energy Star Portfolio Manager Property Type</t>
  </si>
  <si>
    <t>CBECS Primary Building Activity</t>
  </si>
  <si>
    <t>Banking/Financial Services</t>
  </si>
  <si>
    <t>Bank Branch *</t>
  </si>
  <si>
    <t>CBECS - Bank/Financial</t>
  </si>
  <si>
    <t>Financial Office*</t>
  </si>
  <si>
    <t>CBECS - Office &amp; Bank/Financial</t>
  </si>
  <si>
    <t>Adult Education</t>
  </si>
  <si>
    <t>CBECS - Education</t>
  </si>
  <si>
    <t>College/University</t>
  </si>
  <si>
    <t>CBECS - College/University</t>
  </si>
  <si>
    <t>K-12 School*</t>
  </si>
  <si>
    <t>CBECS - Elementary/Middle &amp; High School</t>
  </si>
  <si>
    <t>Pre-school/Daycare</t>
  </si>
  <si>
    <t>CBECS - Preschool</t>
  </si>
  <si>
    <t>Vocational School</t>
  </si>
  <si>
    <t>Other - Education</t>
  </si>
  <si>
    <t>Entertainment/Public Assembly</t>
  </si>
  <si>
    <t>Convention Center</t>
  </si>
  <si>
    <t>CBECS - Social/Meeting</t>
  </si>
  <si>
    <t>Movie Theater</t>
  </si>
  <si>
    <t>CBECS - Public Assembly</t>
  </si>
  <si>
    <t>Museum</t>
  </si>
  <si>
    <t>Performing Arts</t>
  </si>
  <si>
    <t>Recreation</t>
  </si>
  <si>
    <t>Bowling Alley</t>
  </si>
  <si>
    <t>CBECS - Recreation</t>
  </si>
  <si>
    <t>Fitness Center/Health Club/Gym</t>
  </si>
  <si>
    <t>Ice/Curling Rink</t>
  </si>
  <si>
    <t>Roller Rink</t>
  </si>
  <si>
    <t>Swimming Pool</t>
  </si>
  <si>
    <t>Other - Recreation</t>
  </si>
  <si>
    <t>Social/Meeting Hall</t>
  </si>
  <si>
    <t>Stadium</t>
  </si>
  <si>
    <t>Indoor Arena</t>
  </si>
  <si>
    <t>Race Track</t>
  </si>
  <si>
    <t>Stadium (Closed)</t>
  </si>
  <si>
    <t>Stadium (Open)</t>
  </si>
  <si>
    <t>Other - Stadium</t>
  </si>
  <si>
    <t>Aquarium</t>
  </si>
  <si>
    <t>Casino</t>
  </si>
  <si>
    <t>Zoo</t>
  </si>
  <si>
    <t>Other - Entertainment/Public Assembly</t>
  </si>
  <si>
    <t>Bar/Nightclub</t>
  </si>
  <si>
    <t>CBECS - Bar/Pub/Lounge</t>
  </si>
  <si>
    <t>Food Sales &amp; Service</t>
  </si>
  <si>
    <t>Convenience Store</t>
  </si>
  <si>
    <t>Convenience Store with Gas Station</t>
  </si>
  <si>
    <t>CBECS - Food Sales</t>
  </si>
  <si>
    <t>Convenience Store without Gas Station</t>
  </si>
  <si>
    <t>Fast Food Restaurant</t>
  </si>
  <si>
    <t>CBECS - Fast Food</t>
  </si>
  <si>
    <t>CBECS - Restaurant/Cafeteria</t>
  </si>
  <si>
    <t>Other - Restaurant/Bar</t>
  </si>
  <si>
    <t>Supermarket/Grocery Store*</t>
  </si>
  <si>
    <t>CBECS - Grocery Store/Food Market</t>
  </si>
  <si>
    <t>Wholesale Club/Supercenter*</t>
  </si>
  <si>
    <t>CBECS - Retail Store</t>
  </si>
  <si>
    <t>CBECS - Food Service</t>
  </si>
  <si>
    <t>Ambulatory Surgical Center</t>
  </si>
  <si>
    <t>CBECS - Outpatient Health care</t>
  </si>
  <si>
    <t>Hospital (General Medical &amp; Surgical)*</t>
  </si>
  <si>
    <t>Industry Survey</t>
  </si>
  <si>
    <t>Other - Specialty Hospital</t>
  </si>
  <si>
    <t>CBECS - Inpatient Health care</t>
  </si>
  <si>
    <t>Medical Office*</t>
  </si>
  <si>
    <t>CBECS - Medical Office</t>
  </si>
  <si>
    <t>Outpatient Rehabilitation/Physical Therapy</t>
  </si>
  <si>
    <t>Residential Care Facility</t>
  </si>
  <si>
    <t>Senior Care Community*</t>
  </si>
  <si>
    <t>Urgent Care/Clinic/Other Outpatient</t>
  </si>
  <si>
    <t>CBECS - Clinic/Outpatient</t>
  </si>
  <si>
    <t>Lodging/Residential</t>
  </si>
  <si>
    <t>Barracks*</t>
  </si>
  <si>
    <t>CBECS - Dormitory</t>
  </si>
  <si>
    <t>Hotel*</t>
  </si>
  <si>
    <t>CBECS - Hotel &amp; Motel/Inn</t>
  </si>
  <si>
    <t>Multifamily Housing*</t>
  </si>
  <si>
    <t>Fannie Mae Industry Survey</t>
  </si>
  <si>
    <t>Prison/Incarceration</t>
  </si>
  <si>
    <t>CBECS - Public Order and Safety</t>
  </si>
  <si>
    <t>Residence Hall/Dormitory*</t>
  </si>
  <si>
    <t>Single Family Home</t>
  </si>
  <si>
    <t>None Available</t>
  </si>
  <si>
    <t>Single Family</t>
  </si>
  <si>
    <t>Other - Lodging/Residential</t>
  </si>
  <si>
    <t>CBECS - Lodging</t>
  </si>
  <si>
    <t>Manufacturing/Industrial</t>
  </si>
  <si>
    <t>Manufacturing/Industrial Plant</t>
  </si>
  <si>
    <t>Mixed Use</t>
  </si>
  <si>
    <t>Mixed Use Property</t>
  </si>
  <si>
    <t>CBECS - Other</t>
  </si>
  <si>
    <t>Office*</t>
  </si>
  <si>
    <t>Veterinary Office</t>
  </si>
  <si>
    <t>Parking</t>
  </si>
  <si>
    <t>Public Services</t>
  </si>
  <si>
    <t>Courthouse*</t>
  </si>
  <si>
    <t>CBECS - Courthouse</t>
  </si>
  <si>
    <r>
      <t>Drinking Water Treatment &amp; Distribution
(A</t>
    </r>
    <r>
      <rPr>
        <i/>
        <sz val="10"/>
        <rFont val="Arial"/>
        <family val="2"/>
      </rPr>
      <t>verage EUI presented in Energy per Flow in gallons per day)</t>
    </r>
  </si>
  <si>
    <t>Drinking Water Treatment &amp; Distribution</t>
  </si>
  <si>
    <t>AWWA - Water Treatment Plant</t>
  </si>
  <si>
    <t>Fire Station</t>
  </si>
  <si>
    <t>CBECS - Fire Station/Police Station</t>
  </si>
  <si>
    <t>Library</t>
  </si>
  <si>
    <t>CBECS - Library</t>
  </si>
  <si>
    <t>Mailing Center/Post Office</t>
  </si>
  <si>
    <t>CBECS - Service</t>
  </si>
  <si>
    <t>Police Station</t>
  </si>
  <si>
    <t>Transportation Terminal/Station</t>
  </si>
  <si>
    <r>
      <rPr>
        <b/>
        <sz val="10"/>
        <rFont val="Arial"/>
        <family val="2"/>
      </rPr>
      <t xml:space="preserve">Wastewater Treatment Plant*
</t>
    </r>
    <r>
      <rPr>
        <sz val="10"/>
        <rFont val="Arial"/>
        <family val="2"/>
      </rPr>
      <t>(</t>
    </r>
    <r>
      <rPr>
        <i/>
        <sz val="10"/>
        <rFont val="Arial"/>
        <family val="2"/>
      </rPr>
      <t>Average EUI presented in Energy per Flow in gallons per day)</t>
    </r>
  </si>
  <si>
    <t>AWWA - Wastewater Plant</t>
  </si>
  <si>
    <t>Other - Public Services</t>
  </si>
  <si>
    <t>Worship Facility*</t>
  </si>
  <si>
    <t>CBECS - Religious Worship</t>
  </si>
  <si>
    <t>Retail</t>
  </si>
  <si>
    <t>Automobile Dealership</t>
  </si>
  <si>
    <t>CBECS - Retail other than Mall</t>
  </si>
  <si>
    <t>Mall</t>
  </si>
  <si>
    <t>Enclosed Mall</t>
  </si>
  <si>
    <t>CBECS - Enclosed Mall</t>
  </si>
  <si>
    <t>Lifestyle Center</t>
  </si>
  <si>
    <t>CBECS - Strip Shopping Mall</t>
  </si>
  <si>
    <t>Strip Mall</t>
  </si>
  <si>
    <t>Other - Mall</t>
  </si>
  <si>
    <t>CBECS - Enclosed Mall and Strip Shopping Mall</t>
  </si>
  <si>
    <t>Retail Store*</t>
  </si>
  <si>
    <t>Technology/Science</t>
  </si>
  <si>
    <r>
      <rPr>
        <b/>
        <sz val="10"/>
        <rFont val="Arial"/>
        <family val="2"/>
      </rPr>
      <t xml:space="preserve">Data Center*
</t>
    </r>
    <r>
      <rPr>
        <i/>
        <sz val="10"/>
        <rFont val="Arial"/>
        <family val="2"/>
      </rPr>
      <t>(Average PUE presented in place of EUI: PUE = Total Energy / IT Energy)</t>
    </r>
  </si>
  <si>
    <t>EPA - Data Center</t>
  </si>
  <si>
    <t>Laboratory</t>
  </si>
  <si>
    <t>CBECS - Laboratory</t>
  </si>
  <si>
    <t>Other - Technology/Science</t>
  </si>
  <si>
    <t>Services</t>
  </si>
  <si>
    <t>Personal Services (Health/Beauty, Dry Cleaning, etc.)</t>
  </si>
  <si>
    <t>Repair Services (Vehicle, Shoe, Locksmith, etc.)</t>
  </si>
  <si>
    <t>Other - Services</t>
  </si>
  <si>
    <t>Utility</t>
  </si>
  <si>
    <t>Energy/Power Station</t>
  </si>
  <si>
    <r>
      <rPr>
        <b/>
        <sz val="10"/>
        <rFont val="Arial"/>
        <family val="2"/>
      </rPr>
      <t xml:space="preserve">Wastewater Treatment Plant*
</t>
    </r>
    <r>
      <rPr>
        <sz val="10"/>
        <rFont val="Arial"/>
        <family val="2"/>
      </rPr>
      <t>(A</t>
    </r>
    <r>
      <rPr>
        <i/>
        <sz val="10"/>
        <rFont val="Arial"/>
        <family val="2"/>
      </rPr>
      <t>verage EUI presented in Energy per Flow in gallons per day)</t>
    </r>
  </si>
  <si>
    <t>Other - Utility</t>
  </si>
  <si>
    <t>Warehouse/Storage</t>
  </si>
  <si>
    <t>Self-Storage Facility</t>
  </si>
  <si>
    <t>CBECS – Non-refrigerated Warehouse</t>
  </si>
  <si>
    <t>Warehouse/Distribution Center</t>
  </si>
  <si>
    <t>Distribution Center*</t>
  </si>
  <si>
    <t>CBECS – Non-refrigerated Warehouse &amp; Distribution Center</t>
  </si>
  <si>
    <t>Non-Refrigerated Warehouse*</t>
  </si>
  <si>
    <t>Refrigerated Warehouse*</t>
  </si>
  <si>
    <t>CBECS – Refrigerated Warehouses</t>
  </si>
  <si>
    <t>RECS Microdata Reference - Cooking and DHW End Use Energy</t>
  </si>
  <si>
    <t>source data</t>
  </si>
  <si>
    <t>Cooking Gas End Use</t>
  </si>
  <si>
    <t>Space heating used</t>
  </si>
  <si>
    <t>(All)</t>
  </si>
  <si>
    <t>Cooking Elec End Use</t>
  </si>
  <si>
    <t>Main space heating fuel</t>
  </si>
  <si>
    <t>Census Region</t>
  </si>
  <si>
    <t>Type of housing unit</t>
  </si>
  <si>
    <t>5+ MF</t>
  </si>
  <si>
    <t>Electricity used for cooking</t>
  </si>
  <si>
    <t>Average of Weighted total elec cooking</t>
  </si>
  <si>
    <t>Average of Weighted total gas cooking</t>
  </si>
  <si>
    <t>No</t>
  </si>
  <si>
    <t>Yes</t>
  </si>
  <si>
    <t>DHW End Use Gas</t>
  </si>
  <si>
    <t>DHW End Use Elec</t>
  </si>
  <si>
    <t>Water heater in apartment or other part of building</t>
  </si>
  <si>
    <t>Fuel used by main water heater</t>
  </si>
  <si>
    <t>Average of DHW EUI [kBTU/SF]</t>
  </si>
  <si>
    <t>StdDev of DHW EUI [kBTU/SF]</t>
  </si>
  <si>
    <t>In Apartment</t>
  </si>
  <si>
    <t>Central</t>
  </si>
  <si>
    <t>ZNC-compatible</t>
  </si>
  <si>
    <t>ZNC-comp - reduced cons.</t>
  </si>
  <si>
    <r>
      <rPr>
        <b/>
        <sz val="10"/>
        <color theme="1"/>
        <rFont val="Arial"/>
        <family val="2"/>
      </rPr>
      <t>Retrofit Project Cost Estimates</t>
    </r>
    <r>
      <rPr>
        <sz val="10"/>
        <color theme="1"/>
        <rFont val="Arial"/>
        <family val="2"/>
      </rPr>
      <t>, from NRDC report. Source: https://www.nrdc.org/resources/heat-pump-retrofit-strategies-multifamily-buildings</t>
    </r>
  </si>
  <si>
    <t>Commercial typologies</t>
  </si>
  <si>
    <t>Common Assumptions</t>
  </si>
  <si>
    <t>Value</t>
  </si>
  <si>
    <t>Units</t>
  </si>
  <si>
    <t>Source data</t>
  </si>
  <si>
    <t>Multifamily typologies</t>
  </si>
  <si>
    <t>Average heaters (=rooms) per apartment</t>
  </si>
  <si>
    <t>TWG link: http://www.nyc.gov/html/gbee/downloads/pdf/TWGreport_2ndEdition_sm.pdf</t>
  </si>
  <si>
    <t>Average floor area per apartment, including common areas</t>
  </si>
  <si>
    <t>Design heat load of an apartment, assuming EE measures undertaken</t>
  </si>
  <si>
    <t>BTU/hr</t>
  </si>
  <si>
    <t>Space Heating BAU and electrification cost</t>
  </si>
  <si>
    <t>Assumed Heat Load after EE of envelop and distribution</t>
  </si>
  <si>
    <t>BAU Cost</t>
  </si>
  <si>
    <t>Baseline/BAU: Steam or Hot water boiler replacement</t>
  </si>
  <si>
    <t>Cost/SF</t>
  </si>
  <si>
    <t>$/kBTU</t>
  </si>
  <si>
    <t>Distribution work to optimize system</t>
  </si>
  <si>
    <t>$/SF</t>
  </si>
  <si>
    <t>TWG page 64</t>
  </si>
  <si>
    <t>Source: Pursuing Passive</t>
  </si>
  <si>
    <t>BAU boiler upgrade cost - in the absence of any further carbon performance legislation</t>
  </si>
  <si>
    <t>New, optimal boiler plant</t>
  </si>
  <si>
    <t>TWG page 55 (average of "Right size steam boilers at end of life" and "Replace atmospheric boilers with sealed combustion boilers"</t>
  </si>
  <si>
    <t>BAU Electrical Service Upgrade Cost</t>
  </si>
  <si>
    <t>Total Cost</t>
  </si>
  <si>
    <t>per SF</t>
  </si>
  <si>
    <t>Central Heat Pumps with HW Distribution</t>
  </si>
  <si>
    <t>Central Heat Pumps with Hydronic Distribution</t>
  </si>
  <si>
    <t>Cost of hot water piping and pumps if new to building</t>
  </si>
  <si>
    <t>TWG page 63</t>
  </si>
  <si>
    <t>Fan coil or oversized passive room heaters to allow low temps, including hardware and software controls</t>
  </si>
  <si>
    <t>each heater</t>
  </si>
  <si>
    <t xml:space="preserve">source: https://www.houseneeds.com/heating/hydronic-radiators/myson-radiator-baseboard-t6-ivc-t622-4-10 </t>
  </si>
  <si>
    <t>Space Heating Electrification Incremental Cost</t>
  </si>
  <si>
    <t>Comprehensive controls and balancing, hydronic</t>
  </si>
  <si>
    <t>Cost of central heat pump plant, total</t>
  </si>
  <si>
    <t>Total, starting point 1: non-hydronic system</t>
  </si>
  <si>
    <t>Total, starting point 2: hydronic system</t>
  </si>
  <si>
    <t>Incremental Cost of Window/Wall/ERV upgrades</t>
  </si>
  <si>
    <t>Ground loop with WSHPs</t>
  </si>
  <si>
    <t xml:space="preserve">Cost of vertical well </t>
  </si>
  <si>
    <t>per 12,000 BTU</t>
  </si>
  <si>
    <t>source: https://www.oit.edu/docs/default-source/geoheat-center-documents/publications/heat-pump/tp38.pdf?sfvrsn=2</t>
  </si>
  <si>
    <t>Cost of each heat pump</t>
  </si>
  <si>
    <t>per heater</t>
  </si>
  <si>
    <t>Apartment interior work per WSHP</t>
  </si>
  <si>
    <t>Cost of condenser piping and pumps (similar to hydronic conversion)</t>
  </si>
  <si>
    <t>Cost of 230V electrical service to exterior wall</t>
  </si>
  <si>
    <t>Total cost</t>
  </si>
  <si>
    <t>PTHPs</t>
  </si>
  <si>
    <t>Building Floor Area</t>
  </si>
  <si>
    <t>Over 2050 Assumed BAU - replace windows and roof once, regular façade maintenance</t>
  </si>
  <si>
    <t>Cost of PTHP units, including controls hardware and software</t>
  </si>
  <si>
    <t>Assuming 50% more than today's PTHPs for performance improvements</t>
  </si>
  <si>
    <t>Retrofit</t>
  </si>
  <si>
    <t>BAU</t>
  </si>
  <si>
    <t>Incremental $/SF</t>
  </si>
  <si>
    <t>Labor Related BAU</t>
  </si>
  <si>
    <t>Incremental</t>
  </si>
  <si>
    <t>Insallation labor for masonry opening and sleeve installation</t>
  </si>
  <si>
    <t>5 hours of work at $100/hr</t>
  </si>
  <si>
    <t>Windows and roof</t>
  </si>
  <si>
    <t>Windows and Roof</t>
  </si>
  <si>
    <t>ERV</t>
  </si>
  <si>
    <t>Wall Insulation</t>
  </si>
  <si>
    <t>Walls</t>
  </si>
  <si>
    <t>VRF</t>
  </si>
  <si>
    <t>VRF retrofit quote - no recovery</t>
  </si>
  <si>
    <t xml:space="preserve"> Pursuing Passive: https://be-exchange.org/wp-content/uploads/2018/10/BEX_PursuingPassive_181101.pdf</t>
  </si>
  <si>
    <t>DHW Boiler</t>
  </si>
  <si>
    <t>Windows, wall and roof only</t>
  </si>
  <si>
    <t>Source Data</t>
  </si>
  <si>
    <t>Electrical Service upgrade to enable induction stoves and heat pumps</t>
  </si>
  <si>
    <t>Per apartment</t>
  </si>
  <si>
    <t>Labor, 10 hours @ $80/hr</t>
  </si>
  <si>
    <t>Upgrading Amperage to 200A with labor</t>
  </si>
  <si>
    <t>https://www.homeadvisor.com/cost/electrical/upgrade-an-electrical-panel/</t>
  </si>
  <si>
    <t>Roof and Windows Detail Cost Estimate</t>
  </si>
  <si>
    <t>Wiring higher voltage to the perimeter of the building</t>
  </si>
  <si>
    <t>PHASE</t>
  </si>
  <si>
    <t>TRADE</t>
  </si>
  <si>
    <t>QUAN</t>
  </si>
  <si>
    <t>UNIT</t>
  </si>
  <si>
    <t>UNIT PRICE</t>
  </si>
  <si>
    <t>ITEM TOTAL</t>
  </si>
  <si>
    <t>Total in-unit cost</t>
  </si>
  <si>
    <t>per apartment</t>
  </si>
  <si>
    <t>Windows and Roofing                                                                                                                                                                                                                                                                             4,494,026</t>
  </si>
  <si>
    <t>Cost estimate for apartment upgrades</t>
  </si>
  <si>
    <t>Material and labor cost from NYC affordable pilot</t>
  </si>
  <si>
    <t>-</t>
  </si>
  <si>
    <t>Material and labor +contingency + profit cost from NYC affordable pilot</t>
  </si>
  <si>
    <t>Windows</t>
  </si>
  <si>
    <t xml:space="preserve">Quantity </t>
  </si>
  <si>
    <t>Unit Price</t>
  </si>
  <si>
    <t>Protection and  Demo  of Window Surrounds</t>
  </si>
  <si>
    <t>ea</t>
  </si>
  <si>
    <t>Remove and dispose of existing window</t>
  </si>
  <si>
    <t>Prep opening for window installation</t>
  </si>
  <si>
    <t>Installation of new window, complete with loading, anchors, insulation, trims, seals</t>
  </si>
  <si>
    <t>(assumes interior seal and "temp" exterior by window installer, exterior seal by EIFS installer)</t>
  </si>
  <si>
    <t>Restore finisihes at interior</t>
  </si>
  <si>
    <t>Windows - furnished and delivered / assume Schuco AWS 90</t>
  </si>
  <si>
    <t>Roofing</t>
  </si>
  <si>
    <t>Provide new roof membrane / American Hyrdrotech w/ 2" insulation.</t>
  </si>
  <si>
    <t>Includes rip up and prep</t>
  </si>
  <si>
    <t>Thermal isolators for equipment provided by others but installed with this phase.  (potential coordination issue in phasing)</t>
  </si>
  <si>
    <t>Includes pavers as ballast / no green roof assemblies assumed</t>
  </si>
  <si>
    <t>no asbestos remediation included</t>
  </si>
  <si>
    <t>General Conditions</t>
  </si>
  <si>
    <t>Bridges at lobby and egress of building during overhead work, with lighting</t>
  </si>
  <si>
    <t>LS</t>
  </si>
  <si>
    <t>Construction Fence at Perimeter of Building during overhead work</t>
  </si>
  <si>
    <t>LF</t>
  </si>
  <si>
    <t>Add for Gates</t>
  </si>
  <si>
    <t>Staff (assume 6 month duration)</t>
  </si>
  <si>
    <t>Superintendent</t>
  </si>
  <si>
    <t>mo</t>
  </si>
  <si>
    <t>Project Management</t>
  </si>
  <si>
    <t>Labor - 4 men / 3 months (site cleanup, protection, and maintenance)</t>
  </si>
  <si>
    <t>Admin/Support (part itme)</t>
  </si>
  <si>
    <t>Misc Materials/supplies</t>
  </si>
  <si>
    <t>ls</t>
  </si>
  <si>
    <t>Carting, 30CY containers</t>
  </si>
  <si>
    <t>misc permits / violations/ filings</t>
  </si>
  <si>
    <t>Insurance</t>
  </si>
  <si>
    <t>pct</t>
  </si>
  <si>
    <t>Overhead</t>
  </si>
  <si>
    <t>Fee</t>
  </si>
  <si>
    <t>Scope and Design Contingency</t>
  </si>
  <si>
    <t>EIFS Installation                                                                                                                                                                                                                                                                                       2,528,512</t>
  </si>
  <si>
    <t>Budget for mastclimber at building exterior</t>
  </si>
  <si>
    <t>Add for Parapets</t>
  </si>
  <si>
    <t>Add for pipe scaffold at misc bulkheads</t>
  </si>
  <si>
    <t>4" Sto EPS system, including parapets and bulkheads</t>
  </si>
  <si>
    <t>Add for stops and routing/isolation of refrigerant risers</t>
  </si>
  <si>
    <t>Add for sills at windows for extra depth (head and jambs included in unit numbers above)</t>
  </si>
  <si>
    <t>New copings at parapet</t>
  </si>
  <si>
    <t>Add for 2" EIFS at back of parapets</t>
  </si>
  <si>
    <t>Premium for delays from install and testing of VRF piping</t>
  </si>
  <si>
    <t>Construcition Fence at Perimeter of Building during overhead work</t>
  </si>
  <si>
    <t>permits/violations</t>
  </si>
  <si>
    <t>Design/Field Condition Contingency</t>
  </si>
  <si>
    <t>1. Subregion Output Emission Rates (eGRID2016)</t>
  </si>
  <si>
    <t>2050 GHG kg/kBTU</t>
  </si>
  <si>
    <t>eGRID subregion acronym</t>
  </si>
  <si>
    <t>eGRID subregion name</t>
  </si>
  <si>
    <t>Total output emission rates</t>
  </si>
  <si>
    <t>Non-baseload output emission rates</t>
  </si>
  <si>
    <t>Grid Gross Loss (%)</t>
  </si>
  <si>
    <t>lb/MWh</t>
  </si>
  <si>
    <r>
      <t>CO</t>
    </r>
    <r>
      <rPr>
        <b/>
        <vertAlign val="subscript"/>
        <sz val="8.5"/>
        <color theme="1"/>
        <rFont val="Arial"/>
        <family val="2"/>
      </rPr>
      <t>2</t>
    </r>
  </si>
  <si>
    <r>
      <t>CH</t>
    </r>
    <r>
      <rPr>
        <b/>
        <vertAlign val="subscript"/>
        <sz val="8.5"/>
        <color theme="1"/>
        <rFont val="Arial"/>
        <family val="2"/>
      </rPr>
      <t>4</t>
    </r>
  </si>
  <si>
    <r>
      <t>N</t>
    </r>
    <r>
      <rPr>
        <b/>
        <vertAlign val="subscript"/>
        <sz val="8.5"/>
        <color theme="1"/>
        <rFont val="Arial"/>
        <family val="2"/>
      </rPr>
      <t>2</t>
    </r>
    <r>
      <rPr>
        <b/>
        <sz val="8.5"/>
        <color theme="1"/>
        <rFont val="Arial"/>
        <family val="2"/>
      </rPr>
      <t>O</t>
    </r>
  </si>
  <si>
    <r>
      <t>CO</t>
    </r>
    <r>
      <rPr>
        <b/>
        <vertAlign val="subscript"/>
        <sz val="8.5"/>
        <color theme="1"/>
        <rFont val="Arial"/>
        <family val="2"/>
      </rPr>
      <t>2</t>
    </r>
    <r>
      <rPr>
        <b/>
        <sz val="8.5"/>
        <color theme="1"/>
        <rFont val="Arial"/>
        <family val="2"/>
      </rPr>
      <t>e</t>
    </r>
  </si>
  <si>
    <r>
      <t>Annual NO</t>
    </r>
    <r>
      <rPr>
        <b/>
        <vertAlign val="subscript"/>
        <sz val="8.5"/>
        <color theme="1"/>
        <rFont val="Arial"/>
        <family val="2"/>
      </rPr>
      <t>x</t>
    </r>
  </si>
  <si>
    <r>
      <t>Ozone Season NO</t>
    </r>
    <r>
      <rPr>
        <b/>
        <vertAlign val="subscript"/>
        <sz val="8.5"/>
        <color theme="1"/>
        <rFont val="Arial"/>
        <family val="2"/>
      </rPr>
      <t>x</t>
    </r>
  </si>
  <si>
    <r>
      <t>SO</t>
    </r>
    <r>
      <rPr>
        <b/>
        <vertAlign val="subscript"/>
        <sz val="8.5"/>
        <color theme="1"/>
        <rFont val="Arial"/>
        <family val="2"/>
      </rPr>
      <t>2</t>
    </r>
  </si>
  <si>
    <t>Baseload CO2e Lb/MWH</t>
  </si>
  <si>
    <t>Non-Baseload CO2e Lb/MWH</t>
  </si>
  <si>
    <t>AKGD</t>
  </si>
  <si>
    <t>ASCC Alaska Grid</t>
  </si>
  <si>
    <t>RFC East</t>
  </si>
  <si>
    <t>AKMS</t>
  </si>
  <si>
    <t>ASCC Miscellaneous</t>
  </si>
  <si>
    <t>AZNM</t>
  </si>
  <si>
    <t>WECC Southwest</t>
  </si>
  <si>
    <t>WECC California</t>
  </si>
  <si>
    <t>Natural Gas CO2e [kg/MillionBTU]</t>
  </si>
  <si>
    <t>source (page 7, figure 1): https://portfoliomanager.energystar.gov/pdf/reference/Emissions.pdf</t>
  </si>
  <si>
    <t>ERCT</t>
  </si>
  <si>
    <t>ERCOT All</t>
  </si>
  <si>
    <t>NYC 80x50 Roadmap - 2015 Grid [tCO2e/MMBTU]</t>
  </si>
  <si>
    <t>FRCC</t>
  </si>
  <si>
    <t>FRCC All</t>
  </si>
  <si>
    <t xml:space="preserve">NYC 80x50 Roadmap -2015 grid </t>
  </si>
  <si>
    <t>[Lb/kBTU]</t>
  </si>
  <si>
    <t>HIMS</t>
  </si>
  <si>
    <t>HICC Miscellaneous</t>
  </si>
  <si>
    <t>HIOA</t>
  </si>
  <si>
    <t>HICC Oahu</t>
  </si>
  <si>
    <t>MROE</t>
  </si>
  <si>
    <t>MRO East</t>
  </si>
  <si>
    <t>MROW</t>
  </si>
  <si>
    <t>MRO West</t>
  </si>
  <si>
    <t>NEWE</t>
  </si>
  <si>
    <t>NPCC New England</t>
  </si>
  <si>
    <t>WECC Northwest</t>
  </si>
  <si>
    <t>NPCC NYC/Westchester</t>
  </si>
  <si>
    <t>NYLI</t>
  </si>
  <si>
    <t>NPCC Long Island</t>
  </si>
  <si>
    <t>NYUP</t>
  </si>
  <si>
    <t>NPCC Upstate NY</t>
  </si>
  <si>
    <t>RFCM</t>
  </si>
  <si>
    <t>RFC Michigan</t>
  </si>
  <si>
    <t>RFCW</t>
  </si>
  <si>
    <t>RFC West</t>
  </si>
  <si>
    <t>RMPA</t>
  </si>
  <si>
    <t>WECC Rockies</t>
  </si>
  <si>
    <t>SPNO</t>
  </si>
  <si>
    <t>SPP North</t>
  </si>
  <si>
    <t>SPSO</t>
  </si>
  <si>
    <t>SPP South</t>
  </si>
  <si>
    <t>SRMV</t>
  </si>
  <si>
    <t>SERC Mississippi Valley</t>
  </si>
  <si>
    <t>SRMW</t>
  </si>
  <si>
    <t>SERC Midwest</t>
  </si>
  <si>
    <t>SRSO</t>
  </si>
  <si>
    <t>SERC South</t>
  </si>
  <si>
    <t>SRTV</t>
  </si>
  <si>
    <t>SERC Tennessee Valley</t>
  </si>
  <si>
    <t>SRVC</t>
  </si>
  <si>
    <t>SERC Virginia/Carolina</t>
  </si>
  <si>
    <t>U.S.</t>
  </si>
  <si>
    <t>Created:</t>
  </si>
  <si>
    <t>3. State Output Emission Rates (eGRID2016)</t>
  </si>
  <si>
    <t>(lb/MWh)</t>
  </si>
  <si>
    <t>AK</t>
  </si>
  <si>
    <t>AL</t>
  </si>
  <si>
    <t>AR</t>
  </si>
  <si>
    <t>AZ</t>
  </si>
  <si>
    <t>CO</t>
  </si>
  <si>
    <t>CT</t>
  </si>
  <si>
    <t>DE</t>
  </si>
  <si>
    <t>FL</t>
  </si>
  <si>
    <t>GA</t>
  </si>
  <si>
    <t>HI</t>
  </si>
  <si>
    <t>IA</t>
  </si>
  <si>
    <t>ID</t>
  </si>
  <si>
    <t>IL</t>
  </si>
  <si>
    <t>IN</t>
  </si>
  <si>
    <t>KS</t>
  </si>
  <si>
    <t>KY</t>
  </si>
  <si>
    <t>LA</t>
  </si>
  <si>
    <t>MA</t>
  </si>
  <si>
    <t>MD</t>
  </si>
  <si>
    <t>ME</t>
  </si>
  <si>
    <t>MI</t>
  </si>
  <si>
    <t>MN</t>
  </si>
  <si>
    <t>MO</t>
  </si>
  <si>
    <t>MS</t>
  </si>
  <si>
    <t>MT</t>
  </si>
  <si>
    <t>NC</t>
  </si>
  <si>
    <t>ND</t>
  </si>
  <si>
    <t>NE</t>
  </si>
  <si>
    <t>NH</t>
  </si>
  <si>
    <t>NJ</t>
  </si>
  <si>
    <t>NM</t>
  </si>
  <si>
    <t>NV</t>
  </si>
  <si>
    <t>NY</t>
  </si>
  <si>
    <t>OH</t>
  </si>
  <si>
    <t>OK</t>
  </si>
  <si>
    <t>OR</t>
  </si>
  <si>
    <t>PA</t>
  </si>
  <si>
    <t>RI</t>
  </si>
  <si>
    <t>SC</t>
  </si>
  <si>
    <t>SD</t>
  </si>
  <si>
    <t>TN</t>
  </si>
  <si>
    <t>TX</t>
  </si>
  <si>
    <t>UT</t>
  </si>
  <si>
    <t>VA</t>
  </si>
  <si>
    <t>VT</t>
  </si>
  <si>
    <t>WI</t>
  </si>
  <si>
    <t>WV</t>
  </si>
  <si>
    <t>WY</t>
  </si>
  <si>
    <t>K-12 School</t>
  </si>
  <si>
    <t>Comm-Inst Other</t>
  </si>
  <si>
    <t>Industrial</t>
  </si>
  <si>
    <t>K-12</t>
  </si>
  <si>
    <t>Office-Large</t>
  </si>
  <si>
    <t>Grand Total</t>
  </si>
  <si>
    <t>Count</t>
  </si>
  <si>
    <t>Buildings with Energy Data - CNCA typologies</t>
  </si>
  <si>
    <t>Climate Approximated Core City
Overwrite for specific Core City</t>
  </si>
  <si>
    <t>Input Site EUI Data</t>
  </si>
  <si>
    <t>CBECS Primary Activity</t>
  </si>
  <si>
    <t>Tall or Short</t>
  </si>
  <si>
    <t>Old/New (1980 and newer)</t>
  </si>
  <si>
    <t>Count of Address 1 (self-reported)</t>
  </si>
  <si>
    <t>Sum of Self-Reported Gross Floor Area (ft²)</t>
  </si>
  <si>
    <t>Primary Building Activity</t>
  </si>
  <si>
    <t>Count with Energy Data</t>
  </si>
  <si>
    <t xml:space="preserve"> Short</t>
  </si>
  <si>
    <t xml:space="preserve"> Tall</t>
  </si>
  <si>
    <t xml:space="preserve"> New</t>
  </si>
  <si>
    <t xml:space="preserve"> Old</t>
  </si>
  <si>
    <t>#N/A</t>
  </si>
  <si>
    <t>NYC - CY2017 data, all buildings over 25k SF</t>
  </si>
  <si>
    <t>Total in BM (even with bad energy data</t>
  </si>
  <si>
    <t>Sum of Electricity Use - Grid Purchase (kBtu)</t>
  </si>
  <si>
    <t>Sum of Natural Gas Use (kBtu)</t>
  </si>
  <si>
    <t>Sum of District Steam Use (kBtu)</t>
  </si>
  <si>
    <t>Sum of Fuel Oil #2 Use (kBtu)</t>
  </si>
  <si>
    <t>Sum of Fuel Oil #4 Use (kBtu)</t>
  </si>
  <si>
    <t>Climate Approximated Core City
Overwrite for specific Core City
used for major typology targets</t>
  </si>
  <si>
    <t>DC - CY2017 data, all buildings over 10k SF</t>
  </si>
  <si>
    <t>Count of Address 1</t>
  </si>
  <si>
    <t>Sum of Property GFA - Self-Reported (ft²)</t>
  </si>
  <si>
    <t>Sum of Electricity Use - Grid Purchase (kWh)</t>
  </si>
  <si>
    <t>Sum of Natural Gas Use (therms)</t>
  </si>
  <si>
    <t>Citywide Total Count</t>
  </si>
  <si>
    <t>Building 
Unit Type</t>
  </si>
  <si>
    <t>Building Population</t>
  </si>
  <si>
    <t>SqFt²</t>
  </si>
  <si>
    <t>Residential</t>
  </si>
  <si>
    <t>Existing</t>
  </si>
  <si>
    <t>MF- Short</t>
  </si>
  <si>
    <t>CBECS Primary Activit</t>
  </si>
  <si>
    <t>BM Floor Area</t>
  </si>
  <si>
    <t>MF-Tall</t>
  </si>
  <si>
    <t>Commercial</t>
  </si>
  <si>
    <t>CBECS Typology (applied by SWA)</t>
  </si>
  <si>
    <t>GeneralUseType</t>
  </si>
  <si>
    <t>SpecificUseType</t>
  </si>
  <si>
    <t>Sum of SQFTmain</t>
  </si>
  <si>
    <t xml:space="preserve"> </t>
  </si>
  <si>
    <t>(missing)</t>
  </si>
  <si>
    <t>C/I</t>
  </si>
  <si>
    <t>Auto, Recreation Equipment, Construction Equipment Sales and Service</t>
  </si>
  <si>
    <t>Bank, Savings and Loan</t>
  </si>
  <si>
    <t>Department Store</t>
  </si>
  <si>
    <t>Hotel and Motel</t>
  </si>
  <si>
    <t>Non-Auto Service and Repair Shop, Paint Shop, or Laundry</t>
  </si>
  <si>
    <t>Nursery or Greenhouse</t>
  </si>
  <si>
    <t>Office Building</t>
  </si>
  <si>
    <t>Parking Lot (Commercial Use Property)</t>
  </si>
  <si>
    <t>Professional Building</t>
  </si>
  <si>
    <t>Restaurant, Cocktail Lounge</t>
  </si>
  <si>
    <t>Service Station</t>
  </si>
  <si>
    <t>Shopping Center (Neighborhood, Community)</t>
  </si>
  <si>
    <t>Shopping Center (Regional)</t>
  </si>
  <si>
    <t>Store</t>
  </si>
  <si>
    <t>Store Combination</t>
  </si>
  <si>
    <t>Supermarket</t>
  </si>
  <si>
    <t>Wholesale and Manufacturing Outlet</t>
  </si>
  <si>
    <t>Food Processing Plant</t>
  </si>
  <si>
    <t>Heavy Manufacturing</t>
  </si>
  <si>
    <t>Light Manufacturing</t>
  </si>
  <si>
    <t>Lumber Yard</t>
  </si>
  <si>
    <t>Motion Picture, Radio and Television Industry</t>
  </si>
  <si>
    <t>Open Storage</t>
  </si>
  <si>
    <t>Parking Lot (Industrial Use Property)</t>
  </si>
  <si>
    <t>Warehousing, Distribution, Storage</t>
  </si>
  <si>
    <t>Recreational</t>
  </si>
  <si>
    <t>Athletic and Amusement Facility</t>
  </si>
  <si>
    <t>Club, Lodge Hall, Fraternal Organization</t>
  </si>
  <si>
    <t>Golf Course</t>
  </si>
  <si>
    <t>Theater</t>
  </si>
  <si>
    <t>1-4 Family Res</t>
  </si>
  <si>
    <t>CND</t>
  </si>
  <si>
    <t>Single Family Residence</t>
  </si>
  <si>
    <t>OTH</t>
  </si>
  <si>
    <t>Dry Farm</t>
  </si>
  <si>
    <t>Institutional</t>
  </si>
  <si>
    <t>Cemetery, Mausoleum, Mortuary</t>
  </si>
  <si>
    <t>Children's Day Care Center</t>
  </si>
  <si>
    <t>Church</t>
  </si>
  <si>
    <t>College, University (Private)</t>
  </si>
  <si>
    <t>Homes for Aged and Others</t>
  </si>
  <si>
    <t>School (Private)</t>
  </si>
  <si>
    <t>Miscellaneous</t>
  </si>
  <si>
    <t>Government Owned Property</t>
  </si>
  <si>
    <t>Privately Owned</t>
  </si>
  <si>
    <t>Rooming/Boarding House</t>
  </si>
  <si>
    <t>R-I</t>
  </si>
  <si>
    <t>Double, Duplex, or Two Units</t>
  </si>
  <si>
    <t>Five or More Units or Apartments (Any Combination)</t>
  </si>
  <si>
    <t>Four Units  (Any Combination)</t>
  </si>
  <si>
    <t>Manufactured Home Park</t>
  </si>
  <si>
    <t>Three Units (Any Combination)</t>
  </si>
  <si>
    <t>SFR</t>
  </si>
  <si>
    <t>Manufactured Home</t>
  </si>
  <si>
    <t>VAC</t>
  </si>
  <si>
    <t>Petroleum and Gas</t>
  </si>
  <si>
    <t>EPA_Primary_Self</t>
  </si>
  <si>
    <t>EPA_Primary_Self_Short</t>
  </si>
  <si>
    <t>CBECS Typology</t>
  </si>
  <si>
    <t>Building type</t>
  </si>
  <si>
    <t>Definition</t>
  </si>
  <si>
    <t>Adult Educa</t>
  </si>
  <si>
    <t xml:space="preserve">Ambulatory </t>
  </si>
  <si>
    <t xml:space="preserve">Automobile </t>
  </si>
  <si>
    <t>Bank Branch</t>
  </si>
  <si>
    <t>Bar/Nightcl</t>
  </si>
  <si>
    <t>Barracks</t>
  </si>
  <si>
    <t>Bowling All</t>
  </si>
  <si>
    <t>College/Uni</t>
  </si>
  <si>
    <t>Conven w gas</t>
  </si>
  <si>
    <t>Conven wo gas</t>
  </si>
  <si>
    <t xml:space="preserve">Convention </t>
  </si>
  <si>
    <t>Courthouse</t>
  </si>
  <si>
    <t>Data Center</t>
  </si>
  <si>
    <t>Distribution Center</t>
  </si>
  <si>
    <t>Distributio</t>
  </si>
  <si>
    <t>Drinking Wa</t>
  </si>
  <si>
    <t>Enclosed Ma</t>
  </si>
  <si>
    <t>Energy/Powe</t>
  </si>
  <si>
    <t>Fast Food R</t>
  </si>
  <si>
    <t>Financial Office</t>
  </si>
  <si>
    <t>Financial O</t>
  </si>
  <si>
    <t>Fire Statio</t>
  </si>
  <si>
    <t>Fitness Cen</t>
  </si>
  <si>
    <t>Food Servic</t>
  </si>
  <si>
    <t>Hospital (General Medical &amp; Surgical)</t>
  </si>
  <si>
    <t>Hospital (G</t>
  </si>
  <si>
    <t>Ice/Curling</t>
  </si>
  <si>
    <t>Indoor Aren</t>
  </si>
  <si>
    <t>Lifestyle C</t>
  </si>
  <si>
    <t>Mailing Cen</t>
  </si>
  <si>
    <t>Manufacturi</t>
  </si>
  <si>
    <t>Medical Office</t>
  </si>
  <si>
    <t>Medical Off</t>
  </si>
  <si>
    <t>Mixed Use P</t>
  </si>
  <si>
    <t>Movie Theat</t>
  </si>
  <si>
    <t>Multifamily Housing</t>
  </si>
  <si>
    <t>Non-Refrigerated Warehouse</t>
  </si>
  <si>
    <t>Non-Refrige</t>
  </si>
  <si>
    <t>Other - Edu</t>
  </si>
  <si>
    <t>Other - Ent</t>
  </si>
  <si>
    <t>Other - Lod</t>
  </si>
  <si>
    <t>Other - Mal</t>
  </si>
  <si>
    <t>Other - Pub</t>
  </si>
  <si>
    <t>Other - Rec</t>
  </si>
  <si>
    <t>Other - Res</t>
  </si>
  <si>
    <t>Other - Ser</t>
  </si>
  <si>
    <t>Other - Spe</t>
  </si>
  <si>
    <t>Other - Sta</t>
  </si>
  <si>
    <t>Other - Tec</t>
  </si>
  <si>
    <t>Other - Uti</t>
  </si>
  <si>
    <t xml:space="preserve">Performing </t>
  </si>
  <si>
    <t>Personal Se</t>
  </si>
  <si>
    <t>Police Stat</t>
  </si>
  <si>
    <t>Pre-school/</t>
  </si>
  <si>
    <t>Prison/Inca</t>
  </si>
  <si>
    <t>Refrigerated Warehouse</t>
  </si>
  <si>
    <t>Refrigerate</t>
  </si>
  <si>
    <t>Repair Serv</t>
  </si>
  <si>
    <t>Residence Hall/Dormitory</t>
  </si>
  <si>
    <t>Residence H</t>
  </si>
  <si>
    <t>Retail Store</t>
  </si>
  <si>
    <t>Retail Stor</t>
  </si>
  <si>
    <t>Self-Storag</t>
  </si>
  <si>
    <t>Senior Care Community</t>
  </si>
  <si>
    <t>Senior Care</t>
  </si>
  <si>
    <t>Single Fami</t>
  </si>
  <si>
    <t>Social/Meet</t>
  </si>
  <si>
    <t>Stadium (Cl</t>
  </si>
  <si>
    <t>Stadium (Op</t>
  </si>
  <si>
    <t>Supermarket/Grocery Store</t>
  </si>
  <si>
    <t>Swimming Po</t>
  </si>
  <si>
    <t>Transportat</t>
  </si>
  <si>
    <t>Urgent Care</t>
  </si>
  <si>
    <t xml:space="preserve">Veterinary </t>
  </si>
  <si>
    <t xml:space="preserve">Vocational </t>
  </si>
  <si>
    <t>Wastewater Treatment Plant</t>
  </si>
  <si>
    <t xml:space="preserve">Wastewater </t>
  </si>
  <si>
    <t>Wholesale Club/Supercenter</t>
  </si>
  <si>
    <t>Wholesale C</t>
  </si>
  <si>
    <t>Worship Facility</t>
  </si>
  <si>
    <t>Worship Fac</t>
  </si>
  <si>
    <r>
      <rPr>
        <b/>
        <sz val="11"/>
        <color rgb="FFFFFFFF"/>
        <rFont val="Calibri"/>
        <family val="2"/>
      </rPr>
      <t>2050 Target Fuel Splits</t>
    </r>
  </si>
  <si>
    <r>
      <rPr>
        <b/>
        <sz val="10"/>
        <color rgb="FFFFFFFF"/>
        <rFont val="Arial"/>
        <family val="2"/>
      </rPr>
      <t>pre-2015 EUI
(kBtu/sqft)</t>
    </r>
  </si>
  <si>
    <t>2015-2035 EUI
(kBtu/sqft)</t>
  </si>
  <si>
    <t>2035-2050 EUI
(kBtu/sqft)</t>
  </si>
  <si>
    <r>
      <rPr>
        <b/>
        <sz val="10"/>
        <color rgb="FFFFFFFF"/>
        <rFont val="Arial"/>
        <family val="2"/>
      </rPr>
      <t>Natural Gas</t>
    </r>
  </si>
  <si>
    <r>
      <rPr>
        <b/>
        <sz val="10"/>
        <color rgb="FFFFFFFF"/>
        <rFont val="Arial"/>
        <family val="2"/>
      </rPr>
      <t>Electricity</t>
    </r>
  </si>
  <si>
    <r>
      <rPr>
        <b/>
        <sz val="10"/>
        <color rgb="FFFFFFFF"/>
        <rFont val="Arial"/>
        <family val="2"/>
      </rPr>
      <t>Carbon Neutral Steam</t>
    </r>
  </si>
  <si>
    <t>Units¹</t>
  </si>
  <si>
    <t>Area per Unit</t>
  </si>
  <si>
    <t>Seattle EUI Targets</t>
  </si>
  <si>
    <t>%Reduction</t>
  </si>
  <si>
    <t>EUI breakdown (kBtu)</t>
  </si>
  <si>
    <t>HVAC</t>
  </si>
  <si>
    <t>Oil</t>
  </si>
  <si>
    <t>Stm</t>
  </si>
  <si>
    <t>Bio</t>
  </si>
  <si>
    <t>Proc</t>
  </si>
  <si>
    <t>Othr</t>
  </si>
  <si>
    <t>Electrification with reduced heating consumption End Uses</t>
  </si>
  <si>
    <t>This tab is a compilation of space heating electrification cost estimates. The cited studies focused on multifamily buildings. The estimates feed into the space heating equipment cost estimate across typologies to develop the order of magnitude cost estimate per building type.</t>
  </si>
  <si>
    <t xml:space="preserve">The following tabs serve as back-end calculations and lookups for the city targets tabs. </t>
  </si>
  <si>
    <t xml:space="preserve">This tab can be used to look up the current greenhouse gas intensity of the electricity grid across the United States. The highlighted columns for CO2e are used. </t>
  </si>
  <si>
    <t xml:space="preserve">This tab can be used to determine which CBECS Typology each Energy Star Portfolio Manager space type falls into, as used in this analysis. </t>
  </si>
  <si>
    <t xml:space="preserve">Shortened names used in Seattle BM data, not relevant to other data sets. </t>
  </si>
  <si>
    <t xml:space="preserve">This tab has various information compilations for the Core Cities, which were copied into each city tab. The data from these tabs come from benchmarking or parcel assessment (property tax) data. </t>
  </si>
  <si>
    <t>Cooling EUI Reduction</t>
  </si>
  <si>
    <t>EnerPhit Cooling EUI Allowance</t>
  </si>
  <si>
    <t xml:space="preserve">Effectively Carbon Neutral, once outside offsets are included. Default based on Seattle GHG inventory 2016. </t>
  </si>
  <si>
    <t>Gas Reduction Cost [$/kBTU/SF]</t>
  </si>
  <si>
    <t xml:space="preserve">This tab calculates how site energy use would change for different gas-using end uses based on estimated efficiency differences between gas and electric equipment. The result of this tab is a ratio for each end use, which is applied to the baseline end use (gas site EUI) to get the approximate achievable performance of an electrified end use. The same approach is used to develop differences in installation costs for the different types of equipment. </t>
  </si>
  <si>
    <t xml:space="preserve">This tab incorporates the CBECS building types and breaks out the typical end use proportions. The climate-dependent components of space heating and cooling are adjusted for. </t>
  </si>
  <si>
    <t>Santa Monica*</t>
  </si>
  <si>
    <t>Floor Area [SF]</t>
  </si>
  <si>
    <t>Area</t>
  </si>
  <si>
    <t>Floor Area and GHGI [CO2e/SF/yr]</t>
  </si>
  <si>
    <t>City Total Floor Area [million SF]</t>
  </si>
  <si>
    <t>MF-New-Tall (4+ stories, post 1979)</t>
  </si>
  <si>
    <t>MF-Old-Tall (4+ stories, pre 1980)</t>
  </si>
  <si>
    <t>MF-Short (1-3 stories, any age)</t>
  </si>
  <si>
    <t>GHGI</t>
  </si>
  <si>
    <t>Seattle's Typologies</t>
  </si>
  <si>
    <t>Floor Area</t>
  </si>
  <si>
    <t>Site EUI Total</t>
  </si>
  <si>
    <t>Elec Total</t>
  </si>
  <si>
    <t>Elec HVAC</t>
  </si>
  <si>
    <t>Gas Total</t>
  </si>
  <si>
    <t>Gas HVAC</t>
  </si>
  <si>
    <t>Gas DHW</t>
  </si>
  <si>
    <t>Gas Proc</t>
  </si>
  <si>
    <t>Baseline Gas EUI</t>
  </si>
  <si>
    <t>Santa Monica</t>
  </si>
  <si>
    <t>BM Average</t>
  </si>
  <si>
    <t>FFEUI</t>
  </si>
  <si>
    <t>Site EUI Trend
(Lowest point highlighted)</t>
  </si>
  <si>
    <t>KBTU</t>
  </si>
  <si>
    <t>Sum of Weighted total gas + oil DHW unit count</t>
  </si>
  <si>
    <t>Sum of Weighted Space Heating Use</t>
  </si>
  <si>
    <t>Sum of Weighted total gas+ oil use</t>
  </si>
  <si>
    <t>(Multiple Items)</t>
  </si>
  <si>
    <t>Sum of Weighted Area</t>
  </si>
  <si>
    <t>Cold/Very Cold</t>
  </si>
  <si>
    <t>Hot-Dry/Mixed-Dry</t>
  </si>
  <si>
    <t>Hot-Humid</t>
  </si>
  <si>
    <t>Mixed-Humid</t>
  </si>
  <si>
    <t>(blank)</t>
  </si>
  <si>
    <t>Average Gas + Oil EUI</t>
  </si>
  <si>
    <t>Gas Heating?</t>
  </si>
  <si>
    <t>Gas DHW?</t>
  </si>
  <si>
    <t>Health Care, Mercantile removed, alphabetized, add in Multifamily types</t>
  </si>
  <si>
    <t>Natural Gas Energy Use Intensity [kBTU/SF]</t>
  </si>
  <si>
    <t>MF Heating Adjustment</t>
  </si>
  <si>
    <t>Average</t>
  </si>
  <si>
    <t>MF Space Heating Adj</t>
  </si>
  <si>
    <t>MF Space Cooling Adj</t>
  </si>
  <si>
    <t>MF Space Heating Multplier</t>
  </si>
  <si>
    <t>Location Based Multiplier</t>
  </si>
  <si>
    <t>Energy efficiency gains across all typologies for EE Standard</t>
  </si>
  <si>
    <t>Heat/Cool Load % Above EnerPHit (ZNC-comp red. Cons. Only)</t>
  </si>
  <si>
    <t>The workbook is set up so that each core city has a tab with the most relevant inputs and outputs. On each city tab is a section for high-level city information and building energy data, if available.</t>
  </si>
  <si>
    <t>ZNC compatible assuming carbon neutral electricity</t>
  </si>
  <si>
    <t>Visual Guidance - 1</t>
  </si>
  <si>
    <t>Visual Guidance - 2</t>
  </si>
  <si>
    <t>Visual Guidance - 3</t>
  </si>
  <si>
    <t>Visual Guidance - 4</t>
  </si>
  <si>
    <r>
      <t xml:space="preserve">Starting Point 2: enter count, floor area, and energy use medians for gas and electricity EUIs. </t>
    </r>
    <r>
      <rPr>
        <b/>
        <sz val="11"/>
        <color theme="1"/>
        <rFont val="Arial"/>
        <family val="2"/>
      </rPr>
      <t xml:space="preserve">To true up to median site EUI, the gas vs electricity split should be input by calculating median site EUI and percent of site energy represented by electricity, with gas being the remainder of the site EUI. </t>
    </r>
    <r>
      <rPr>
        <sz val="11"/>
        <color theme="1"/>
        <rFont val="Arial"/>
        <family val="2"/>
      </rPr>
      <t>Select Building America Climate Zone and make any edits to the heating and electricity EUI savings estimates, if desired, or leave defaults. Targets are developed based on estimated end use proportions mapped to energy type totals.</t>
    </r>
  </si>
  <si>
    <t>Average / CBECS adjustment factor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</si>
</sst>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164" formatCode="#,##0.0"/>
    <numFmt numFmtId="165" formatCode="0.0"/>
    <numFmt numFmtId="166" formatCode="#,##0.00%"/>
    <numFmt numFmtId="167" formatCode="#,##0.000"/>
    <numFmt numFmtId="168" formatCode="#,##0.0000"/>
    <numFmt numFmtId="169" formatCode="0.0000"/>
    <numFmt numFmtId="170" formatCode="&quot;$&quot;#,##0.0_);[Red]\(&quot;$&quot;#,##0.0\)"/>
  </numFmts>
  <fonts count="11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1"/>
      <color theme="1"/>
      <name val="Calibri"/>
      <family val="2"/>
      <scheme val="minor"/>
    </font>
    <font>
      <sz val="10"/>
      <color rgb="FF000000"/>
      <name val="Arial"/>
      <family val="2"/>
    </font>
    <font>
      <b/>
      <sz val="10"/>
      <color rgb="FF000000"/>
      <name val="Arial"/>
      <family val="2"/>
    </font>
    <font>
      <sz val="10"/>
      <name val="Arial"/>
      <family val="2"/>
    </font>
    <font>
      <sz val="10"/>
      <color rgb="FF000000"/>
      <name val="Wingdings"/>
      <charset val="2"/>
    </font>
    <font>
      <b/>
      <sz val="10"/>
      <name val="Arial"/>
      <family val="2"/>
    </font>
    <font>
      <u/>
      <sz val="11"/>
      <color theme="10"/>
      <name val="Calibri"/>
      <family val="2"/>
      <scheme val="minor"/>
    </font>
    <font>
      <b/>
      <sz val="12"/>
      <color theme="1"/>
      <name val="Calibri"/>
      <family val="2"/>
      <scheme val="minor"/>
    </font>
    <font>
      <sz val="11"/>
      <color theme="0" tint="-0.499984740745262"/>
      <name val="Calibri"/>
      <family val="2"/>
      <scheme val="minor"/>
    </font>
    <font>
      <b/>
      <sz val="12"/>
      <color theme="4"/>
      <name val="Calibri"/>
      <family val="2"/>
      <scheme val="minor"/>
    </font>
    <font>
      <b/>
      <sz val="10"/>
      <color theme="1"/>
      <name val="Calibri"/>
      <family val="2"/>
      <scheme val="minor"/>
    </font>
    <font>
      <b/>
      <sz val="9"/>
      <color theme="1"/>
      <name val="Calibri"/>
      <family val="2"/>
      <scheme val="minor"/>
    </font>
    <font>
      <sz val="9"/>
      <color theme="1"/>
      <name val="Calibri"/>
      <family val="2"/>
      <scheme val="minor"/>
    </font>
    <font>
      <sz val="10"/>
      <color theme="1"/>
      <name val="Calibri"/>
      <family val="2"/>
      <scheme val="minor"/>
    </font>
    <font>
      <b/>
      <vertAlign val="superscript"/>
      <sz val="10"/>
      <color theme="1"/>
      <name val="Calibri"/>
      <family val="2"/>
      <scheme val="minor"/>
    </font>
    <font>
      <vertAlign val="superscript"/>
      <sz val="10"/>
      <color theme="1"/>
      <name val="Calibri"/>
      <family val="2"/>
      <scheme val="minor"/>
    </font>
    <font>
      <vertAlign val="superscript"/>
      <sz val="9"/>
      <color theme="1"/>
      <name val="Calibri"/>
      <family val="2"/>
      <scheme val="minor"/>
    </font>
    <font>
      <i/>
      <sz val="9"/>
      <color theme="1"/>
      <name val="Calibri"/>
      <family val="2"/>
      <scheme val="minor"/>
    </font>
    <font>
      <i/>
      <sz val="10"/>
      <color rgb="FFFF0000"/>
      <name val="Calibri"/>
      <family val="2"/>
      <scheme val="minor"/>
    </font>
    <font>
      <b/>
      <sz val="10"/>
      <color theme="1"/>
      <name val="Arial"/>
      <family val="2"/>
    </font>
    <font>
      <sz val="11"/>
      <name val="Arial"/>
      <family val="2"/>
    </font>
    <font>
      <sz val="12"/>
      <name val="Arial"/>
      <family val="2"/>
    </font>
    <font>
      <sz val="12"/>
      <color rgb="FFFF0000"/>
      <name val="Arial"/>
      <family val="2"/>
    </font>
    <font>
      <b/>
      <sz val="11"/>
      <name val="Calibri"/>
      <family val="2"/>
    </font>
    <font>
      <b/>
      <sz val="11"/>
      <color rgb="FFFFFFFF"/>
      <name val="Calibri"/>
      <family val="2"/>
    </font>
    <font>
      <b/>
      <sz val="10"/>
      <color rgb="FFFFFFFF"/>
      <name val="Arial"/>
      <family val="2"/>
    </font>
    <font>
      <sz val="9"/>
      <color theme="0"/>
      <name val="Arial"/>
      <family val="2"/>
    </font>
    <font>
      <b/>
      <sz val="12"/>
      <color theme="1"/>
      <name val="Arial"/>
      <family val="2"/>
    </font>
    <font>
      <sz val="10"/>
      <color theme="9"/>
      <name val="Arial"/>
      <family val="2"/>
    </font>
    <font>
      <sz val="11"/>
      <color theme="1"/>
      <name val="Calibri"/>
      <family val="2"/>
      <scheme val="minor"/>
    </font>
    <font>
      <sz val="9"/>
      <name val="Arial"/>
      <family val="2"/>
    </font>
    <font>
      <sz val="11"/>
      <color theme="1"/>
      <name val="Arial"/>
      <family val="2"/>
    </font>
    <font>
      <sz val="8"/>
      <color theme="1"/>
      <name val="Arial"/>
      <family val="2"/>
    </font>
    <font>
      <sz val="8.5"/>
      <color theme="1"/>
      <name val="Arial"/>
      <family val="2"/>
    </font>
    <font>
      <b/>
      <sz val="8.5"/>
      <color theme="1"/>
      <name val="Arial"/>
      <family val="2"/>
    </font>
    <font>
      <b/>
      <sz val="11"/>
      <color theme="1"/>
      <name val="Arial"/>
      <family val="2"/>
    </font>
    <font>
      <b/>
      <vertAlign val="subscript"/>
      <sz val="8.5"/>
      <color theme="1"/>
      <name val="Arial"/>
      <family val="2"/>
    </font>
    <font>
      <sz val="9"/>
      <color theme="1"/>
      <name val="Arial"/>
      <family val="2"/>
    </font>
    <font>
      <sz val="7"/>
      <color theme="1" tint="0.24994659260841701"/>
      <name val="Tahoma"/>
      <family val="2"/>
    </font>
    <font>
      <u/>
      <sz val="10"/>
      <color theme="10"/>
      <name val="Arial"/>
      <family val="2"/>
    </font>
    <font>
      <b/>
      <sz val="10"/>
      <color rgb="FFE7E6E6"/>
      <name val="Arial"/>
      <family val="2"/>
    </font>
    <font>
      <i/>
      <sz val="10"/>
      <color rgb="FFE7E6E6"/>
      <name val="Arial"/>
      <family val="2"/>
    </font>
    <font>
      <sz val="10"/>
      <color rgb="FFE7E6E6"/>
      <name val="Arial"/>
      <family val="2"/>
    </font>
    <font>
      <sz val="10"/>
      <color rgb="FFFFFFFF"/>
      <name val="Arial"/>
      <family val="2"/>
    </font>
    <font>
      <i/>
      <sz val="10"/>
      <color theme="1"/>
      <name val="Arial"/>
      <family val="2"/>
    </font>
    <font>
      <b/>
      <sz val="14"/>
      <color theme="1"/>
      <name val="Arial"/>
      <family val="2"/>
    </font>
    <font>
      <sz val="10"/>
      <color rgb="FF000000"/>
      <name val="Times New Roman"/>
      <family val="1"/>
    </font>
    <font>
      <i/>
      <sz val="10"/>
      <name val="Arial"/>
      <family val="2"/>
    </font>
    <font>
      <sz val="18"/>
      <color theme="3"/>
      <name val="Calibri Light"/>
      <family val="2"/>
      <scheme val="major"/>
    </font>
    <font>
      <b/>
      <sz val="11"/>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b/>
      <sz val="18"/>
      <color theme="3"/>
      <name val="Calibri Light"/>
      <family val="2"/>
      <scheme val="major"/>
    </font>
    <font>
      <sz val="11"/>
      <color rgb="FF9C6500"/>
      <name val="Calibri"/>
      <family val="2"/>
      <scheme val="minor"/>
    </font>
    <font>
      <sz val="10"/>
      <name val="MS Sans Serif"/>
      <family val="2"/>
    </font>
    <font>
      <sz val="14"/>
      <color theme="1"/>
      <name val="Arial"/>
      <family val="2"/>
    </font>
    <font>
      <sz val="16"/>
      <name val="Arial"/>
      <family val="2"/>
    </font>
    <font>
      <sz val="16"/>
      <color theme="1"/>
      <name val="Arial"/>
      <family val="2"/>
    </font>
    <font>
      <sz val="9"/>
      <color indexed="81"/>
      <name val="Tahoma"/>
      <family val="2"/>
    </font>
    <font>
      <b/>
      <i/>
      <sz val="10"/>
      <name val="Arial"/>
      <family val="2"/>
    </font>
    <font>
      <b/>
      <sz val="12"/>
      <color theme="0"/>
      <name val="Arial"/>
      <family val="2"/>
    </font>
    <font>
      <sz val="12"/>
      <color theme="1"/>
      <name val="Arial"/>
      <family val="2"/>
    </font>
    <font>
      <sz val="12"/>
      <color theme="0"/>
      <name val="Arial"/>
      <family val="2"/>
    </font>
    <font>
      <b/>
      <sz val="16"/>
      <color rgb="FFF05A28"/>
      <name val="Arial"/>
      <family val="2"/>
    </font>
    <font>
      <sz val="16"/>
      <color rgb="FFF05A28"/>
      <name val="Arial"/>
      <family val="2"/>
    </font>
    <font>
      <sz val="7"/>
      <color theme="1"/>
      <name val="Arial"/>
      <family val="2"/>
    </font>
    <font>
      <i/>
      <sz val="11"/>
      <color theme="1"/>
      <name val="Arial"/>
      <family val="2"/>
    </font>
    <font>
      <sz val="18"/>
      <name val="Arial"/>
      <family val="2"/>
    </font>
    <font>
      <b/>
      <sz val="12"/>
      <color rgb="FFFFFFFF"/>
      <name val="Arial"/>
      <family val="2"/>
    </font>
    <font>
      <b/>
      <sz val="9"/>
      <color rgb="FFFFFFFF"/>
      <name val="Arial"/>
      <family val="2"/>
    </font>
    <font>
      <sz val="9"/>
      <color rgb="FF283540"/>
      <name val="Arial"/>
      <family val="2"/>
    </font>
    <font>
      <sz val="11"/>
      <color rgb="FFFFFFFF"/>
      <name val="Arial"/>
      <family val="2"/>
    </font>
  </fonts>
  <fills count="6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4" tint="0.79998168889431442"/>
        <bgColor theme="4" tint="0.79998168889431442"/>
      </patternFill>
    </fill>
    <fill>
      <patternFill patternType="solid">
        <fgColor rgb="FF92D050"/>
        <bgColor indexed="64"/>
      </patternFill>
    </fill>
    <fill>
      <patternFill patternType="solid">
        <fgColor rgb="FF1F4E78"/>
      </patternFill>
    </fill>
    <fill>
      <patternFill patternType="solid">
        <fgColor rgb="FFC5DFB4"/>
      </patternFill>
    </fill>
    <fill>
      <patternFill patternType="solid">
        <fgColor rgb="FFDDEBF7"/>
      </patternFill>
    </fill>
    <fill>
      <patternFill patternType="solid">
        <fgColor rgb="FF02599D"/>
        <bgColor indexed="64"/>
      </patternFill>
    </fill>
    <fill>
      <patternFill patternType="solid">
        <fgColor rgb="FFE1E1E1"/>
        <bgColor indexed="64"/>
      </patternFill>
    </fill>
    <fill>
      <patternFill patternType="solid">
        <fgColor rgb="FFEBF1DE"/>
        <bgColor indexed="64"/>
      </patternFill>
    </fill>
    <fill>
      <patternFill patternType="solid">
        <fgColor rgb="FFF2F2F2"/>
        <bgColor indexed="64"/>
      </patternFill>
    </fill>
    <fill>
      <patternFill patternType="solid">
        <fgColor rgb="FFE4DFEC"/>
        <bgColor indexed="64"/>
      </patternFill>
    </fill>
    <fill>
      <patternFill patternType="solid">
        <fgColor theme="0"/>
        <bgColor indexed="64"/>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rgb="FFF1F1F1"/>
      </patternFill>
    </fill>
    <fill>
      <patternFill patternType="solid">
        <fgColor rgb="FF009ED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theme="4"/>
      </patternFill>
    </fill>
    <fill>
      <patternFill patternType="solid">
        <fgColor theme="4" tint="0.79998168889431442"/>
        <bgColor indexed="64"/>
      </patternFill>
    </fill>
    <fill>
      <patternFill patternType="solid">
        <fgColor theme="5" tint="0.59999389629810485"/>
        <bgColor theme="4"/>
      </patternFill>
    </fill>
    <fill>
      <patternFill patternType="solid">
        <fgColor theme="4" tint="0.59999389629810485"/>
        <bgColor theme="4" tint="0.59999389629810485"/>
      </patternFill>
    </fill>
    <fill>
      <patternFill patternType="solid">
        <fgColor rgb="FFF05A28"/>
        <bgColor indexed="64"/>
      </patternFill>
    </fill>
    <fill>
      <patternFill patternType="solid">
        <fgColor rgb="FFF9D1CD"/>
        <bgColor indexed="64"/>
      </patternFill>
    </fill>
    <fill>
      <patternFill patternType="solid">
        <fgColor rgb="FFFCEAE8"/>
        <bgColor indexed="64"/>
      </patternFill>
    </fill>
    <fill>
      <patternFill patternType="solid">
        <fgColor theme="0" tint="-0.249977111117893"/>
        <bgColor indexed="64"/>
      </patternFill>
    </fill>
  </fills>
  <borders count="13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style="thin">
        <color auto="1"/>
      </top>
      <bottom style="thin">
        <color auto="1"/>
      </bottom>
      <diagonal/>
    </border>
    <border>
      <left/>
      <right/>
      <top/>
      <bottom style="thin">
        <color theme="4" tint="0.39997558519241921"/>
      </bottom>
      <diagonal/>
    </border>
    <border>
      <left/>
      <right/>
      <top/>
      <bottom style="thick">
        <color theme="4"/>
      </bottom>
      <diagonal/>
    </border>
    <border>
      <left/>
      <right/>
      <top/>
      <bottom style="dashed">
        <color theme="0" tint="-0.24994659260841701"/>
      </bottom>
      <diagonal/>
    </border>
    <border>
      <left/>
      <right/>
      <top style="thick">
        <color theme="4"/>
      </top>
      <bottom style="dashed">
        <color theme="0" tint="-0.24994659260841701"/>
      </bottom>
      <diagonal/>
    </border>
    <border>
      <left/>
      <right/>
      <top/>
      <bottom style="thin">
        <color theme="0" tint="-0.249977111117893"/>
      </bottom>
      <diagonal/>
    </border>
    <border>
      <left/>
      <right/>
      <top style="dashed">
        <color theme="0" tint="-0.24994659260841701"/>
      </top>
      <bottom style="medium">
        <color theme="4"/>
      </bottom>
      <diagonal/>
    </border>
    <border>
      <left/>
      <right/>
      <top style="medium">
        <color theme="4"/>
      </top>
      <bottom/>
      <diagonal/>
    </border>
    <border>
      <left/>
      <right/>
      <top/>
      <bottom style="thin">
        <color theme="0" tint="-0.24994659260841701"/>
      </bottom>
      <diagonal/>
    </border>
    <border>
      <left/>
      <right style="thick">
        <color theme="0"/>
      </right>
      <top/>
      <bottom style="thin">
        <color theme="0" tint="-0.24994659260841701"/>
      </bottom>
      <diagonal/>
    </border>
    <border>
      <left/>
      <right/>
      <top style="thin">
        <color theme="0" tint="-0.24994659260841701"/>
      </top>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style="thick">
        <color theme="0"/>
      </left>
      <right/>
      <top/>
      <bottom style="thin">
        <color theme="0" tint="-0.24994659260841701"/>
      </bottom>
      <diagonal/>
    </border>
    <border>
      <left/>
      <right style="thin">
        <color rgb="FF808080"/>
      </right>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right style="thin">
        <color rgb="FF808080"/>
      </right>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bottom style="thin">
        <color rgb="FF808080"/>
      </bottom>
      <diagonal/>
    </border>
    <border>
      <left/>
      <right/>
      <top/>
      <bottom style="thin">
        <color rgb="FF808080"/>
      </bottom>
      <diagonal/>
    </border>
    <border>
      <left style="thin">
        <color rgb="FF808080"/>
      </left>
      <right style="thin">
        <color rgb="FF000000"/>
      </right>
      <top style="thin">
        <color rgb="FF808080"/>
      </top>
      <bottom style="thin">
        <color rgb="FF000000"/>
      </bottom>
      <diagonal/>
    </border>
    <border>
      <left style="thin">
        <color rgb="FF000000"/>
      </left>
      <right style="thin">
        <color rgb="FF808080"/>
      </right>
      <top style="thin">
        <color rgb="FF808080"/>
      </top>
      <bottom style="thin">
        <color rgb="FF000000"/>
      </bottom>
      <diagonal/>
    </border>
    <border>
      <left style="thin">
        <color rgb="FF808080"/>
      </left>
      <right/>
      <top style="thin">
        <color rgb="FF808080"/>
      </top>
      <bottom style="thin">
        <color rgb="FF808080"/>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00000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style="thin">
        <color rgb="FF808080"/>
      </right>
      <top style="thin">
        <color rgb="FF000000"/>
      </top>
      <bottom style="thin">
        <color rgb="FF000000"/>
      </bottom>
      <diagonal/>
    </border>
    <border>
      <left style="thin">
        <color rgb="FF000000"/>
      </left>
      <right style="thin">
        <color rgb="FF000000"/>
      </right>
      <top style="thin">
        <color rgb="FF000000"/>
      </top>
      <bottom style="thin">
        <color rgb="FF808080"/>
      </bottom>
      <diagonal/>
    </border>
    <border>
      <left style="thin">
        <color rgb="FF000000"/>
      </left>
      <right style="thin">
        <color rgb="FF808080"/>
      </right>
      <top style="thin">
        <color rgb="FF000000"/>
      </top>
      <bottom style="thin">
        <color rgb="FF808080"/>
      </bottom>
      <diagonal/>
    </border>
    <border>
      <left style="thin">
        <color rgb="FF000000"/>
      </left>
      <right style="thin">
        <color rgb="FF000000"/>
      </right>
      <top style="thin">
        <color rgb="FF808080"/>
      </top>
      <bottom style="thin">
        <color rgb="FF000000"/>
      </bottom>
      <diagonal/>
    </border>
    <border>
      <left style="medium">
        <color rgb="FF999999"/>
      </left>
      <right style="thin">
        <color rgb="FF999999"/>
      </right>
      <top style="medium">
        <color rgb="FF999999"/>
      </top>
      <bottom style="thin">
        <color rgb="FF999999"/>
      </bottom>
      <diagonal/>
    </border>
    <border>
      <left style="thin">
        <color rgb="FF999999"/>
      </left>
      <right style="medium">
        <color rgb="FF999999"/>
      </right>
      <top style="medium">
        <color rgb="FF999999"/>
      </top>
      <bottom style="thin">
        <color rgb="FF999999"/>
      </bottom>
      <diagonal/>
    </border>
    <border>
      <left style="medium">
        <color rgb="FF999999"/>
      </left>
      <right style="thin">
        <color rgb="FF999999"/>
      </right>
      <top style="thin">
        <color rgb="FF999999"/>
      </top>
      <bottom style="thin">
        <color rgb="FF999999"/>
      </bottom>
      <diagonal/>
    </border>
    <border>
      <left style="thin">
        <color rgb="FF999999"/>
      </left>
      <right style="medium">
        <color rgb="FF999999"/>
      </right>
      <top style="thin">
        <color rgb="FF999999"/>
      </top>
      <bottom style="thin">
        <color rgb="FF999999"/>
      </bottom>
      <diagonal/>
    </border>
    <border>
      <left style="medium">
        <color rgb="FF999999"/>
      </left>
      <right style="thin">
        <color rgb="FF999999"/>
      </right>
      <top style="thin">
        <color rgb="FF999999"/>
      </top>
      <bottom style="medium">
        <color rgb="FF999999"/>
      </bottom>
      <diagonal/>
    </border>
    <border>
      <left style="thin">
        <color rgb="FF999999"/>
      </left>
      <right style="medium">
        <color rgb="FF999999"/>
      </right>
      <top style="thin">
        <color rgb="FF999999"/>
      </top>
      <bottom style="medium">
        <color rgb="FF999999"/>
      </bottom>
      <diagonal/>
    </border>
    <border>
      <left/>
      <right style="thin">
        <color indexed="64"/>
      </right>
      <top/>
      <bottom/>
      <diagonal/>
    </border>
    <border>
      <left style="thin">
        <color rgb="FF999999"/>
      </left>
      <right style="thin">
        <color rgb="FF999999"/>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ck">
        <color auto="1"/>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auto="1"/>
      </right>
      <top style="thin">
        <color indexed="64"/>
      </top>
      <bottom/>
      <diagonal/>
    </border>
    <border>
      <left style="thin">
        <color indexed="64"/>
      </left>
      <right style="thin">
        <color indexed="64"/>
      </right>
      <top style="thin">
        <color indexed="64"/>
      </top>
      <bottom/>
      <diagonal/>
    </border>
    <border>
      <left style="thick">
        <color indexed="64"/>
      </left>
      <right style="thin">
        <color indexed="64"/>
      </right>
      <top style="thin">
        <color indexed="64"/>
      </top>
      <bottom/>
      <diagonal/>
    </border>
    <border>
      <left style="thin">
        <color auto="1"/>
      </left>
      <right style="thick">
        <color auto="1"/>
      </right>
      <top style="thin">
        <color auto="1"/>
      </top>
      <bottom style="thin">
        <color auto="1"/>
      </bottom>
      <diagonal/>
    </border>
    <border>
      <left style="thick">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ck">
        <color auto="1"/>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rgb="FF000000"/>
      </left>
      <right style="medium">
        <color rgb="FF000000"/>
      </right>
      <top style="medium">
        <color rgb="FF000000"/>
      </top>
      <bottom style="thick">
        <color rgb="FFFFFFFF"/>
      </bottom>
      <diagonal/>
    </border>
    <border>
      <left style="medium">
        <color rgb="FF000000"/>
      </left>
      <right style="medium">
        <color rgb="FFFFFFFF"/>
      </right>
      <top style="medium">
        <color rgb="FF000000"/>
      </top>
      <bottom style="thick">
        <color rgb="FFFFFFFF"/>
      </bottom>
      <diagonal/>
    </border>
    <border>
      <left style="medium">
        <color rgb="FFFFFFFF"/>
      </left>
      <right style="medium">
        <color rgb="FF000000"/>
      </right>
      <top style="medium">
        <color rgb="FF000000"/>
      </top>
      <bottom style="thick">
        <color rgb="FFFFFFFF"/>
      </bottom>
      <diagonal/>
    </border>
    <border>
      <left style="medium">
        <color rgb="FF000000"/>
      </left>
      <right style="medium">
        <color rgb="FF000000"/>
      </right>
      <top style="thick">
        <color rgb="FFFFFFFF"/>
      </top>
      <bottom style="medium">
        <color rgb="FFFFFFFF"/>
      </bottom>
      <diagonal/>
    </border>
    <border>
      <left style="medium">
        <color rgb="FF000000"/>
      </left>
      <right style="medium">
        <color rgb="FFFFFFFF"/>
      </right>
      <top style="thick">
        <color rgb="FFFFFFFF"/>
      </top>
      <bottom style="medium">
        <color rgb="FFFFFFFF"/>
      </bottom>
      <diagonal/>
    </border>
    <border>
      <left style="medium">
        <color rgb="FFFFFFFF"/>
      </left>
      <right style="medium">
        <color rgb="FF000000"/>
      </right>
      <top style="thick">
        <color rgb="FFFFFFFF"/>
      </top>
      <bottom style="medium">
        <color rgb="FFFFFFFF"/>
      </bottom>
      <diagonal/>
    </border>
    <border>
      <left style="medium">
        <color rgb="FF000000"/>
      </left>
      <right style="medium">
        <color rgb="FF000000"/>
      </right>
      <top style="medium">
        <color rgb="FFFFFFFF"/>
      </top>
      <bottom style="medium">
        <color rgb="FFFFFFFF"/>
      </bottom>
      <diagonal/>
    </border>
    <border>
      <left style="medium">
        <color rgb="FF000000"/>
      </left>
      <right style="medium">
        <color rgb="FFFFFFFF"/>
      </right>
      <top style="medium">
        <color rgb="FFFFFFFF"/>
      </top>
      <bottom style="medium">
        <color rgb="FFFFFFFF"/>
      </bottom>
      <diagonal/>
    </border>
    <border>
      <left style="medium">
        <color rgb="FFFFFFFF"/>
      </left>
      <right style="medium">
        <color rgb="FF000000"/>
      </right>
      <top style="medium">
        <color rgb="FFFFFFFF"/>
      </top>
      <bottom style="medium">
        <color rgb="FFFFFFFF"/>
      </bottom>
      <diagonal/>
    </border>
    <border>
      <left style="medium">
        <color rgb="FF000000"/>
      </left>
      <right style="medium">
        <color rgb="FFFFFFFF"/>
      </right>
      <top style="medium">
        <color rgb="FFFFFFFF"/>
      </top>
      <bottom style="medium">
        <color rgb="FF000000"/>
      </bottom>
      <diagonal/>
    </border>
    <border>
      <left style="medium">
        <color rgb="FFFFFFFF"/>
      </left>
      <right style="medium">
        <color rgb="FF000000"/>
      </right>
      <top style="medium">
        <color rgb="FFFFFFFF"/>
      </top>
      <bottom style="medium">
        <color rgb="FF000000"/>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rgb="FF808080"/>
      </right>
      <top style="thin">
        <color rgb="FF808080"/>
      </top>
      <bottom style="thin">
        <color rgb="FF808080"/>
      </bottom>
      <diagonal/>
    </border>
    <border>
      <left style="thin">
        <color rgb="FF808080"/>
      </left>
      <right style="medium">
        <color indexed="64"/>
      </right>
      <top style="thin">
        <color rgb="FF808080"/>
      </top>
      <bottom style="thin">
        <color rgb="FF808080"/>
      </bottom>
      <diagonal/>
    </border>
    <border>
      <left style="medium">
        <color indexed="64"/>
      </left>
      <right style="thin">
        <color rgb="FF808080"/>
      </right>
      <top style="thin">
        <color rgb="FF808080"/>
      </top>
      <bottom/>
      <diagonal/>
    </border>
    <border>
      <left style="medium">
        <color indexed="64"/>
      </left>
      <right style="thin">
        <color rgb="FF808080"/>
      </right>
      <top/>
      <bottom style="thin">
        <color rgb="FF808080"/>
      </bottom>
      <diagonal/>
    </border>
    <border>
      <left style="medium">
        <color indexed="64"/>
      </left>
      <right style="thin">
        <color rgb="FF808080"/>
      </right>
      <top/>
      <bottom/>
      <diagonal/>
    </border>
    <border>
      <left style="thin">
        <color rgb="FF808080"/>
      </left>
      <right style="medium">
        <color indexed="64"/>
      </right>
      <top style="thin">
        <color rgb="FF808080"/>
      </top>
      <bottom/>
      <diagonal/>
    </border>
    <border>
      <left style="medium">
        <color indexed="64"/>
      </left>
      <right style="thin">
        <color rgb="FF808080"/>
      </right>
      <top style="thin">
        <color rgb="FF808080"/>
      </top>
      <bottom style="medium">
        <color indexed="64"/>
      </bottom>
      <diagonal/>
    </border>
    <border>
      <left style="thin">
        <color rgb="FF808080"/>
      </left>
      <right/>
      <top style="thin">
        <color rgb="FF808080"/>
      </top>
      <bottom style="medium">
        <color indexed="64"/>
      </bottom>
      <diagonal/>
    </border>
    <border>
      <left style="thin">
        <color rgb="FF808080"/>
      </left>
      <right style="medium">
        <color indexed="64"/>
      </right>
      <top style="thin">
        <color rgb="FF808080"/>
      </top>
      <bottom style="medium">
        <color indexed="64"/>
      </bottom>
      <diagonal/>
    </border>
    <border>
      <left/>
      <right/>
      <top style="thin">
        <color theme="4" tint="0.39997558519241921"/>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indexed="64"/>
      </right>
      <top style="thin">
        <color indexed="64"/>
      </top>
      <bottom/>
      <diagonal/>
    </border>
    <border>
      <left style="thin">
        <color indexed="64"/>
      </left>
      <right/>
      <top style="thick">
        <color theme="0"/>
      </top>
      <bottom/>
      <diagonal/>
    </border>
    <border>
      <left style="thin">
        <color theme="0"/>
      </left>
      <right style="thin">
        <color indexed="64"/>
      </right>
      <top style="thick">
        <color theme="0"/>
      </top>
      <bottom/>
      <diagonal/>
    </border>
    <border>
      <left style="thin">
        <color indexed="64"/>
      </left>
      <right/>
      <top style="thin">
        <color theme="0"/>
      </top>
      <bottom/>
      <diagonal/>
    </border>
    <border>
      <left style="thin">
        <color theme="0"/>
      </left>
      <right style="thin">
        <color indexed="64"/>
      </right>
      <top style="thin">
        <color theme="0"/>
      </top>
      <bottom/>
      <diagonal/>
    </border>
    <border>
      <left style="thin">
        <color indexed="64"/>
      </left>
      <right/>
      <top style="thin">
        <color theme="0"/>
      </top>
      <bottom style="thin">
        <color indexed="64"/>
      </bottom>
      <diagonal/>
    </border>
    <border>
      <left style="thin">
        <color theme="0"/>
      </left>
      <right style="thin">
        <color indexed="64"/>
      </right>
      <top style="thin">
        <color theme="0"/>
      </top>
      <bottom style="thin">
        <color indexed="64"/>
      </bottom>
      <diagonal/>
    </border>
    <border>
      <left style="medium">
        <color rgb="FF2F4C56"/>
      </left>
      <right style="medium">
        <color rgb="FF2F4C56"/>
      </right>
      <top style="medium">
        <color rgb="FF2F4C56"/>
      </top>
      <bottom style="thick">
        <color rgb="FFFFFFFF"/>
      </bottom>
      <diagonal/>
    </border>
    <border>
      <left style="medium">
        <color rgb="FF2F4C56"/>
      </left>
      <right style="medium">
        <color rgb="FFFFFFFF"/>
      </right>
      <top style="medium">
        <color rgb="FF2F4C56"/>
      </top>
      <bottom style="thick">
        <color rgb="FFFFFFFF"/>
      </bottom>
      <diagonal/>
    </border>
    <border>
      <left style="medium">
        <color rgb="FFFFFFFF"/>
      </left>
      <right style="medium">
        <color rgb="FFFFFFFF"/>
      </right>
      <top style="medium">
        <color rgb="FF2F4C56"/>
      </top>
      <bottom style="thick">
        <color rgb="FFFFFFFF"/>
      </bottom>
      <diagonal/>
    </border>
    <border>
      <left style="medium">
        <color rgb="FF2F4C56"/>
      </left>
      <right style="medium">
        <color rgb="FF2F4C56"/>
      </right>
      <top style="thick">
        <color rgb="FFFFFFFF"/>
      </top>
      <bottom style="medium">
        <color rgb="FFFFFFFF"/>
      </bottom>
      <diagonal/>
    </border>
    <border>
      <left style="medium">
        <color rgb="FF2F4C56"/>
      </left>
      <right style="medium">
        <color rgb="FFFFFFFF"/>
      </right>
      <top style="thick">
        <color rgb="FFFFFFFF"/>
      </top>
      <bottom style="medium">
        <color rgb="FFFFFFFF"/>
      </bottom>
      <diagonal/>
    </border>
    <border>
      <left style="medium">
        <color rgb="FFFFFFFF"/>
      </left>
      <right style="medium">
        <color rgb="FFFFFFFF"/>
      </right>
      <top style="thick">
        <color rgb="FFFFFFFF"/>
      </top>
      <bottom style="medium">
        <color rgb="FFFFFFFF"/>
      </bottom>
      <diagonal/>
    </border>
    <border>
      <left style="medium">
        <color rgb="FF2F4C56"/>
      </left>
      <right style="medium">
        <color rgb="FF2F4C56"/>
      </right>
      <top style="medium">
        <color rgb="FFFFFFFF"/>
      </top>
      <bottom style="medium">
        <color rgb="FFFFFFFF"/>
      </bottom>
      <diagonal/>
    </border>
    <border>
      <left style="medium">
        <color rgb="FF2F4C56"/>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2F4C56"/>
      </left>
      <right style="medium">
        <color rgb="FF2F4C56"/>
      </right>
      <top style="medium">
        <color rgb="FFFFFFFF"/>
      </top>
      <bottom style="medium">
        <color rgb="FF2F4C56"/>
      </bottom>
      <diagonal/>
    </border>
    <border>
      <left style="medium">
        <color rgb="FF2F4C56"/>
      </left>
      <right style="medium">
        <color rgb="FFFFFFFF"/>
      </right>
      <top style="medium">
        <color rgb="FFFFFFFF"/>
      </top>
      <bottom style="medium">
        <color rgb="FF2F4C56"/>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s>
  <cellStyleXfs count="65">
    <xf numFmtId="0" fontId="0" fillId="0" borderId="0"/>
    <xf numFmtId="0" fontId="32" fillId="0" borderId="0" applyNumberFormat="0" applyFill="0" applyBorder="0" applyAlignment="0" applyProtection="0"/>
    <xf numFmtId="0" fontId="35" fillId="0" borderId="0" applyNumberFormat="0" applyProtection="0">
      <alignment horizontal="left"/>
    </xf>
    <xf numFmtId="0" fontId="37" fillId="0" borderId="19" applyNumberFormat="0" applyProtection="0">
      <alignment wrapText="1"/>
    </xf>
    <xf numFmtId="0" fontId="38" fillId="0" borderId="20" applyNumberFormat="0" applyFont="0" applyProtection="0">
      <alignment wrapText="1"/>
    </xf>
    <xf numFmtId="0" fontId="37" fillId="0" borderId="22" applyNumberFormat="0" applyProtection="0">
      <alignment wrapText="1"/>
    </xf>
    <xf numFmtId="0" fontId="38" fillId="0" borderId="24" applyNumberFormat="0" applyProtection="0">
      <alignment vertical="top" wrapText="1"/>
    </xf>
    <xf numFmtId="0" fontId="52" fillId="10" borderId="0" applyNumberFormat="0" applyBorder="0" applyAlignment="0" applyProtection="0"/>
    <xf numFmtId="9" fontId="55" fillId="0" borderId="0" applyFont="0" applyFill="0" applyBorder="0" applyAlignment="0" applyProtection="0"/>
    <xf numFmtId="0" fontId="56" fillId="11" borderId="0" applyNumberFormat="0" applyBorder="0" applyAlignment="0" applyProtection="0"/>
    <xf numFmtId="0" fontId="63" fillId="0" borderId="0"/>
    <xf numFmtId="9" fontId="63" fillId="0" borderId="0" applyFont="0" applyFill="0" applyBorder="0" applyAlignment="0" applyProtection="0"/>
    <xf numFmtId="0" fontId="64" fillId="15" borderId="0" applyNumberFormat="0" applyFill="0" applyBorder="0" applyAlignment="0" applyProtection="0"/>
    <xf numFmtId="0" fontId="72" fillId="0" borderId="0"/>
    <xf numFmtId="0" fontId="74" fillId="0" borderId="0" applyNumberFormat="0" applyFill="0" applyBorder="0" applyAlignment="0" applyProtection="0"/>
    <xf numFmtId="0" fontId="55" fillId="27" borderId="97" applyNumberFormat="0" applyFont="0" applyAlignment="0" applyProtection="0"/>
    <xf numFmtId="0" fontId="55" fillId="0" borderId="0"/>
    <xf numFmtId="0" fontId="76" fillId="0" borderId="19" applyNumberFormat="0" applyFill="0" applyAlignment="0" applyProtection="0"/>
    <xf numFmtId="0" fontId="77" fillId="0" borderId="91" applyNumberFormat="0" applyFill="0" applyAlignment="0" applyProtection="0"/>
    <xf numFmtId="0" fontId="78" fillId="0" borderId="92" applyNumberFormat="0" applyFill="0" applyAlignment="0" applyProtection="0"/>
    <xf numFmtId="0" fontId="78" fillId="0" borderId="0" applyNumberFormat="0" applyFill="0" applyBorder="0" applyAlignment="0" applyProtection="0"/>
    <xf numFmtId="0" fontId="79" fillId="21"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2" fillId="24" borderId="93" applyNumberFormat="0" applyAlignment="0" applyProtection="0"/>
    <xf numFmtId="0" fontId="83" fillId="25" borderId="94" applyNumberFormat="0" applyAlignment="0" applyProtection="0"/>
    <xf numFmtId="0" fontId="84" fillId="25" borderId="93" applyNumberFormat="0" applyAlignment="0" applyProtection="0"/>
    <xf numFmtId="0" fontId="85" fillId="0" borderId="95" applyNumberFormat="0" applyFill="0" applyAlignment="0" applyProtection="0"/>
    <xf numFmtId="0" fontId="75" fillId="26" borderId="9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26" fillId="0" borderId="98" applyNumberFormat="0" applyFill="0" applyAlignment="0" applyProtection="0"/>
    <xf numFmtId="0" fontId="88"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88"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88"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88"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5" fillId="43" borderId="0" applyNumberFormat="0" applyBorder="0" applyAlignment="0" applyProtection="0"/>
    <xf numFmtId="0" fontId="88" fillId="44" borderId="0" applyNumberFormat="0" applyBorder="0" applyAlignment="0" applyProtection="0"/>
    <xf numFmtId="0" fontId="55" fillId="45" borderId="0" applyNumberFormat="0" applyBorder="0" applyAlignment="0" applyProtection="0"/>
    <xf numFmtId="0" fontId="55" fillId="46" borderId="0" applyNumberFormat="0" applyBorder="0" applyAlignment="0" applyProtection="0"/>
    <xf numFmtId="0" fontId="55" fillId="47" borderId="0" applyNumberFormat="0" applyBorder="0" applyAlignment="0" applyProtection="0"/>
    <xf numFmtId="0" fontId="88" fillId="48" borderId="0" applyNumberFormat="0" applyBorder="0" applyAlignment="0" applyProtection="0"/>
    <xf numFmtId="0" fontId="55" fillId="49" borderId="0" applyNumberFormat="0" applyBorder="0" applyAlignment="0" applyProtection="0"/>
    <xf numFmtId="0" fontId="55" fillId="50" borderId="0" applyNumberFormat="0" applyBorder="0" applyAlignment="0" applyProtection="0"/>
    <xf numFmtId="0" fontId="55" fillId="51" borderId="0" applyNumberFormat="0" applyBorder="0" applyAlignment="0" applyProtection="0"/>
    <xf numFmtId="0" fontId="90" fillId="0" borderId="0" applyNumberFormat="0" applyFill="0" applyBorder="0" applyAlignment="0" applyProtection="0"/>
    <xf numFmtId="0" fontId="91" fillId="23" borderId="0" applyNumberFormat="0" applyBorder="0" applyAlignment="0" applyProtection="0"/>
    <xf numFmtId="0" fontId="88" fillId="31" borderId="0" applyNumberFormat="0" applyBorder="0" applyAlignment="0" applyProtection="0"/>
    <xf numFmtId="0" fontId="88" fillId="35" borderId="0" applyNumberFormat="0" applyBorder="0" applyAlignment="0" applyProtection="0"/>
    <xf numFmtId="0" fontId="88" fillId="39" borderId="0" applyNumberFormat="0" applyBorder="0" applyAlignment="0" applyProtection="0"/>
    <xf numFmtId="0" fontId="88" fillId="43" borderId="0" applyNumberFormat="0" applyBorder="0" applyAlignment="0" applyProtection="0"/>
    <xf numFmtId="0" fontId="88" fillId="47" borderId="0" applyNumberFormat="0" applyBorder="0" applyAlignment="0" applyProtection="0"/>
    <xf numFmtId="0" fontId="88" fillId="51" borderId="0" applyNumberFormat="0" applyBorder="0" applyAlignment="0" applyProtection="0"/>
    <xf numFmtId="0" fontId="92" fillId="0" borderId="0"/>
  </cellStyleXfs>
  <cellXfs count="673">
    <xf numFmtId="0" fontId="0" fillId="0" borderId="0" xfId="0"/>
    <xf numFmtId="0" fontId="0" fillId="0" borderId="0" xfId="0" applyBorder="1"/>
    <xf numFmtId="0" fontId="26" fillId="0" borderId="0" xfId="0" applyFont="1"/>
    <xf numFmtId="0" fontId="27" fillId="0" borderId="9" xfId="0" applyFont="1" applyBorder="1" applyAlignment="1">
      <alignment horizontal="center" vertical="center"/>
    </xf>
    <xf numFmtId="0" fontId="27" fillId="0" borderId="9" xfId="0" applyFont="1" applyFill="1" applyBorder="1" applyAlignment="1">
      <alignment horizontal="center" vertical="center"/>
    </xf>
    <xf numFmtId="0" fontId="28" fillId="0" borderId="9" xfId="0" applyFont="1" applyBorder="1" applyAlignment="1">
      <alignment horizontal="center" vertical="center" wrapText="1" readingOrder="1"/>
    </xf>
    <xf numFmtId="0" fontId="27" fillId="0" borderId="9" xfId="0" applyFont="1" applyBorder="1" applyAlignment="1">
      <alignment horizontal="center" vertical="center" wrapText="1" readingOrder="1"/>
    </xf>
    <xf numFmtId="0" fontId="27" fillId="4" borderId="9" xfId="0" applyFont="1" applyFill="1" applyBorder="1" applyAlignment="1">
      <alignment horizontal="center" vertical="center" wrapText="1" readingOrder="1"/>
    </xf>
    <xf numFmtId="0" fontId="27" fillId="2" borderId="9" xfId="0" applyFont="1" applyFill="1" applyBorder="1" applyAlignment="1">
      <alignment horizontal="center" vertical="center" wrapText="1" readingOrder="1"/>
    </xf>
    <xf numFmtId="3" fontId="27" fillId="4" borderId="9" xfId="0" applyNumberFormat="1" applyFont="1" applyFill="1" applyBorder="1" applyAlignment="1">
      <alignment horizontal="center" vertical="center" wrapText="1" readingOrder="1"/>
    </xf>
    <xf numFmtId="0" fontId="25" fillId="0" borderId="0" xfId="0" applyFont="1"/>
    <xf numFmtId="3" fontId="27" fillId="2" borderId="9" xfId="0" applyNumberFormat="1" applyFont="1" applyFill="1" applyBorder="1" applyAlignment="1">
      <alignment horizontal="center" vertical="center" wrapText="1" readingOrder="1"/>
    </xf>
    <xf numFmtId="0" fontId="27" fillId="0" borderId="14" xfId="0" applyFont="1" applyBorder="1" applyAlignment="1">
      <alignment vertical="center" wrapText="1" readingOrder="1"/>
    </xf>
    <xf numFmtId="0" fontId="27" fillId="0" borderId="15" xfId="0" applyFont="1" applyBorder="1" applyAlignment="1">
      <alignment vertical="center" wrapText="1" readingOrder="1"/>
    </xf>
    <xf numFmtId="3" fontId="28" fillId="0" borderId="9" xfId="0" applyNumberFormat="1" applyFont="1" applyBorder="1" applyAlignment="1">
      <alignment horizontal="center" vertical="center" wrapText="1" readingOrder="1"/>
    </xf>
    <xf numFmtId="3" fontId="0" fillId="0" borderId="0" xfId="0" applyNumberFormat="1"/>
    <xf numFmtId="0" fontId="32" fillId="0" borderId="0" xfId="1"/>
    <xf numFmtId="3" fontId="27" fillId="4" borderId="17" xfId="0" applyNumberFormat="1" applyFont="1" applyFill="1" applyBorder="1" applyAlignment="1">
      <alignment horizontal="center" vertical="center" wrapText="1" readingOrder="1"/>
    </xf>
    <xf numFmtId="3" fontId="27" fillId="2" borderId="17" xfId="0" applyNumberFormat="1" applyFont="1" applyFill="1" applyBorder="1" applyAlignment="1">
      <alignment horizontal="center" vertical="center" wrapText="1" readingOrder="1"/>
    </xf>
    <xf numFmtId="0" fontId="33" fillId="5" borderId="0" xfId="0" applyFont="1" applyFill="1"/>
    <xf numFmtId="0" fontId="33" fillId="5" borderId="18" xfId="0" applyFont="1" applyFill="1" applyBorder="1"/>
    <xf numFmtId="0" fontId="0" fillId="0" borderId="0" xfId="0" applyAlignment="1">
      <alignment horizontal="left"/>
    </xf>
    <xf numFmtId="9" fontId="0" fillId="0" borderId="0" xfId="0" applyNumberFormat="1"/>
    <xf numFmtId="0" fontId="34" fillId="0" borderId="0" xfId="0" applyFont="1" applyAlignment="1">
      <alignment wrapText="1"/>
    </xf>
    <xf numFmtId="1" fontId="0" fillId="0" borderId="0" xfId="0" applyNumberFormat="1"/>
    <xf numFmtId="0" fontId="36" fillId="0" borderId="19" xfId="3" applyFont="1">
      <alignment wrapText="1"/>
    </xf>
    <xf numFmtId="3" fontId="36" fillId="0" borderId="9" xfId="3" applyNumberFormat="1" applyFont="1" applyBorder="1" applyAlignment="1">
      <alignment horizontal="center" vertical="center" wrapText="1"/>
    </xf>
    <xf numFmtId="0" fontId="36" fillId="0" borderId="21" xfId="4" applyFont="1" applyBorder="1">
      <alignment wrapText="1"/>
    </xf>
    <xf numFmtId="3" fontId="39" fillId="0" borderId="20" xfId="4" applyNumberFormat="1" applyFont="1" applyBorder="1" applyAlignment="1">
      <alignment horizontal="right" wrapText="1"/>
    </xf>
    <xf numFmtId="164" fontId="39" fillId="0" borderId="20" xfId="4" applyNumberFormat="1" applyFont="1" applyBorder="1" applyAlignment="1">
      <alignment horizontal="right" wrapText="1"/>
    </xf>
    <xf numFmtId="165" fontId="39" fillId="0" borderId="20" xfId="4" applyNumberFormat="1" applyFont="1" applyBorder="1" applyAlignment="1">
      <alignment horizontal="right" wrapText="1"/>
    </xf>
    <xf numFmtId="0" fontId="36" fillId="0" borderId="22" xfId="5" applyFont="1" applyFill="1" applyAlignment="1">
      <alignment wrapText="1"/>
    </xf>
    <xf numFmtId="3" fontId="36" fillId="0" borderId="22" xfId="5" applyNumberFormat="1" applyFont="1" applyAlignment="1">
      <alignment horizontal="right" wrapText="1"/>
    </xf>
    <xf numFmtId="164" fontId="36" fillId="0" borderId="22" xfId="5" applyNumberFormat="1" applyFont="1" applyAlignment="1">
      <alignment horizontal="right" wrapText="1"/>
    </xf>
    <xf numFmtId="165" fontId="36" fillId="0" borderId="22" xfId="5" applyNumberFormat="1" applyFont="1" applyAlignment="1">
      <alignment horizontal="right" wrapText="1"/>
    </xf>
    <xf numFmtId="0" fontId="39" fillId="0" borderId="20" xfId="4" applyFont="1" applyFill="1">
      <alignment wrapText="1"/>
    </xf>
    <xf numFmtId="3" fontId="39" fillId="0" borderId="20" xfId="4" applyNumberFormat="1" applyFont="1" applyAlignment="1">
      <alignment horizontal="right" wrapText="1"/>
    </xf>
    <xf numFmtId="164" fontId="39" fillId="0" borderId="20" xfId="4" applyNumberFormat="1" applyFont="1" applyAlignment="1">
      <alignment horizontal="right" wrapText="1"/>
    </xf>
    <xf numFmtId="165" fontId="39" fillId="0" borderId="20" xfId="4" applyNumberFormat="1" applyFont="1" applyAlignment="1">
      <alignment horizontal="right" wrapText="1"/>
    </xf>
    <xf numFmtId="0" fontId="39" fillId="0" borderId="20" xfId="4" applyFont="1" applyFill="1" applyAlignment="1">
      <alignment horizontal="left" wrapText="1" indent="1"/>
    </xf>
    <xf numFmtId="0" fontId="36" fillId="0" borderId="22" xfId="5" applyFont="1" applyFill="1">
      <alignment wrapText="1"/>
    </xf>
    <xf numFmtId="0" fontId="39" fillId="0" borderId="20" xfId="4" applyFont="1" applyFill="1" applyAlignment="1">
      <alignment wrapText="1"/>
    </xf>
    <xf numFmtId="3" fontId="39" fillId="0" borderId="20" xfId="4" applyNumberFormat="1" applyFont="1" applyFill="1" applyAlignment="1">
      <alignment horizontal="right" wrapText="1"/>
    </xf>
    <xf numFmtId="164" fontId="39" fillId="0" borderId="20" xfId="4" applyNumberFormat="1" applyFont="1" applyFill="1" applyAlignment="1">
      <alignment horizontal="right" wrapText="1"/>
    </xf>
    <xf numFmtId="165" fontId="39" fillId="0" borderId="20" xfId="4" applyNumberFormat="1" applyFont="1" applyFill="1" applyAlignment="1">
      <alignment horizontal="right" wrapText="1"/>
    </xf>
    <xf numFmtId="3" fontId="36" fillId="0" borderId="22" xfId="5" applyNumberFormat="1" applyFont="1" applyFill="1" applyAlignment="1">
      <alignment horizontal="right" wrapText="1"/>
    </xf>
    <xf numFmtId="164" fontId="36" fillId="0" borderId="22" xfId="5" applyNumberFormat="1" applyFont="1" applyFill="1" applyAlignment="1">
      <alignment horizontal="right" wrapText="1"/>
    </xf>
    <xf numFmtId="165" fontId="36" fillId="0" borderId="22" xfId="5" applyNumberFormat="1" applyFont="1" applyFill="1" applyAlignment="1">
      <alignment horizontal="right" wrapText="1"/>
    </xf>
    <xf numFmtId="0" fontId="39" fillId="0" borderId="20" xfId="4" quotePrefix="1" applyFont="1" applyFill="1">
      <alignment wrapText="1"/>
    </xf>
    <xf numFmtId="0" fontId="0" fillId="0" borderId="0" xfId="0" applyFill="1"/>
    <xf numFmtId="3" fontId="0" fillId="0" borderId="0" xfId="0" applyNumberFormat="1" applyAlignment="1">
      <alignment horizontal="right"/>
    </xf>
    <xf numFmtId="0" fontId="0" fillId="0" borderId="23" xfId="0" applyBorder="1"/>
    <xf numFmtId="3" fontId="0" fillId="0" borderId="23" xfId="0" applyNumberFormat="1" applyBorder="1" applyAlignment="1">
      <alignment horizontal="right"/>
    </xf>
    <xf numFmtId="165" fontId="0" fillId="0" borderId="23" xfId="0" applyNumberFormat="1" applyBorder="1"/>
    <xf numFmtId="165" fontId="0" fillId="0" borderId="23" xfId="0" applyNumberFormat="1" applyBorder="1" applyAlignment="1">
      <alignment horizontal="right"/>
    </xf>
    <xf numFmtId="0" fontId="35" fillId="0" borderId="0" xfId="2" applyAlignment="1">
      <alignment wrapText="1"/>
    </xf>
    <xf numFmtId="0" fontId="39" fillId="0" borderId="20" xfId="4" applyFont="1" applyFill="1" applyAlignment="1">
      <alignment horizontal="left" wrapText="1"/>
    </xf>
    <xf numFmtId="0" fontId="38" fillId="0" borderId="24" xfId="6" applyAlignment="1">
      <alignment wrapText="1"/>
    </xf>
    <xf numFmtId="3" fontId="36" fillId="0" borderId="19" xfId="3" applyNumberFormat="1" applyFont="1" applyAlignment="1">
      <alignment horizontal="right" wrapText="1"/>
    </xf>
    <xf numFmtId="0" fontId="36" fillId="0" borderId="19" xfId="3" applyFont="1" applyAlignment="1">
      <alignment horizontal="right" wrapText="1"/>
    </xf>
    <xf numFmtId="3" fontId="39" fillId="0" borderId="21" xfId="4" applyNumberFormat="1" applyFont="1" applyBorder="1" applyAlignment="1">
      <alignment horizontal="right" wrapText="1"/>
    </xf>
    <xf numFmtId="164" fontId="39" fillId="0" borderId="21" xfId="4" applyNumberFormat="1" applyFont="1" applyBorder="1" applyAlignment="1">
      <alignment horizontal="right" wrapText="1"/>
    </xf>
    <xf numFmtId="3" fontId="39" fillId="0" borderId="21" xfId="4" applyNumberFormat="1" applyFont="1" applyFill="1" applyBorder="1" applyAlignment="1">
      <alignment horizontal="right" wrapText="1"/>
    </xf>
    <xf numFmtId="164" fontId="39" fillId="0" borderId="21" xfId="4" applyNumberFormat="1" applyFont="1" applyFill="1" applyBorder="1" applyAlignment="1">
      <alignment horizontal="right" wrapText="1"/>
    </xf>
    <xf numFmtId="3" fontId="39" fillId="0" borderId="22" xfId="5" applyNumberFormat="1" applyFont="1" applyFill="1" applyAlignment="1">
      <alignment horizontal="right" wrapText="1"/>
    </xf>
    <xf numFmtId="164" fontId="39" fillId="0" borderId="22" xfId="5" applyNumberFormat="1" applyFont="1" applyFill="1" applyAlignment="1">
      <alignment horizontal="right" wrapText="1"/>
    </xf>
    <xf numFmtId="0" fontId="39" fillId="3" borderId="20" xfId="4" applyFont="1" applyFill="1">
      <alignment wrapText="1"/>
    </xf>
    <xf numFmtId="3" fontId="39" fillId="3" borderId="20" xfId="4" applyNumberFormat="1" applyFont="1" applyFill="1" applyAlignment="1">
      <alignment horizontal="right" wrapText="1"/>
    </xf>
    <xf numFmtId="164" fontId="39" fillId="3" borderId="20" xfId="4" applyNumberFormat="1" applyFont="1" applyFill="1" applyAlignment="1">
      <alignment horizontal="right" wrapText="1"/>
    </xf>
    <xf numFmtId="0" fontId="0" fillId="0" borderId="0" xfId="0" applyFont="1"/>
    <xf numFmtId="0" fontId="39" fillId="0" borderId="20" xfId="4" applyFont="1" applyFill="1" applyAlignment="1">
      <alignment horizontal="left" wrapText="1" indent="2"/>
    </xf>
    <xf numFmtId="3" fontId="39" fillId="0" borderId="28" xfId="5" applyNumberFormat="1" applyFont="1" applyFill="1" applyBorder="1" applyAlignment="1">
      <alignment horizontal="right" wrapText="1"/>
    </xf>
    <xf numFmtId="164" fontId="39" fillId="0" borderId="28" xfId="5" applyNumberFormat="1" applyFont="1" applyFill="1" applyBorder="1" applyAlignment="1">
      <alignment horizontal="right" wrapText="1"/>
    </xf>
    <xf numFmtId="3" fontId="39" fillId="0" borderId="28" xfId="5" applyNumberFormat="1" applyFont="1" applyBorder="1" applyAlignment="1">
      <alignment horizontal="right" wrapText="1"/>
    </xf>
    <xf numFmtId="164" fontId="39" fillId="0" borderId="28" xfId="5" applyNumberFormat="1" applyFont="1" applyBorder="1" applyAlignment="1">
      <alignment horizontal="right" wrapText="1"/>
    </xf>
    <xf numFmtId="3" fontId="39" fillId="0" borderId="28" xfId="4" applyNumberFormat="1" applyFont="1" applyFill="1" applyBorder="1" applyAlignment="1">
      <alignment horizontal="right" wrapText="1"/>
    </xf>
    <xf numFmtId="164" fontId="39" fillId="0" borderId="28" xfId="4" applyNumberFormat="1" applyFont="1" applyFill="1" applyBorder="1" applyAlignment="1">
      <alignment horizontal="right" wrapText="1"/>
    </xf>
    <xf numFmtId="3" fontId="39" fillId="0" borderId="28" xfId="4" applyNumberFormat="1" applyFont="1" applyBorder="1" applyAlignment="1">
      <alignment horizontal="right" wrapText="1"/>
    </xf>
    <xf numFmtId="164" fontId="39" fillId="0" borderId="28" xfId="4" applyNumberFormat="1" applyFont="1" applyBorder="1" applyAlignment="1">
      <alignment horizontal="right" wrapText="1"/>
    </xf>
    <xf numFmtId="0" fontId="39" fillId="3" borderId="22" xfId="5" applyFont="1" applyFill="1">
      <alignment wrapText="1"/>
    </xf>
    <xf numFmtId="3" fontId="39" fillId="3" borderId="22" xfId="5" applyNumberFormat="1" applyFont="1" applyFill="1" applyAlignment="1">
      <alignment horizontal="right" wrapText="1"/>
    </xf>
    <xf numFmtId="164" fontId="39" fillId="3" borderId="22" xfId="5" applyNumberFormat="1" applyFont="1" applyFill="1" applyAlignment="1">
      <alignment horizontal="right" wrapText="1"/>
    </xf>
    <xf numFmtId="3" fontId="39" fillId="0" borderId="22" xfId="5" applyNumberFormat="1" applyFont="1" applyAlignment="1">
      <alignment horizontal="right" wrapText="1"/>
    </xf>
    <xf numFmtId="164" fontId="39" fillId="0" borderId="22" xfId="5" applyNumberFormat="1" applyFont="1" applyAlignment="1">
      <alignment horizontal="right" wrapText="1"/>
    </xf>
    <xf numFmtId="0" fontId="39" fillId="3" borderId="20" xfId="4" applyFont="1" applyFill="1" applyAlignment="1">
      <alignment wrapText="1"/>
    </xf>
    <xf numFmtId="0" fontId="39" fillId="0" borderId="0" xfId="4" applyFont="1" applyFill="1" applyBorder="1" applyAlignment="1">
      <alignment horizontal="left" wrapText="1" indent="1"/>
    </xf>
    <xf numFmtId="0" fontId="44" fillId="0" borderId="19" xfId="3" applyFont="1">
      <alignment wrapText="1"/>
    </xf>
    <xf numFmtId="0" fontId="0" fillId="0" borderId="29" xfId="0" applyBorder="1"/>
    <xf numFmtId="165" fontId="39" fillId="0" borderId="21" xfId="4" applyNumberFormat="1" applyFont="1" applyBorder="1" applyAlignment="1">
      <alignment horizontal="right" wrapText="1"/>
    </xf>
    <xf numFmtId="0" fontId="35" fillId="0" borderId="0" xfId="2" applyAlignment="1"/>
    <xf numFmtId="4" fontId="0" fillId="0" borderId="0" xfId="0" applyNumberFormat="1"/>
    <xf numFmtId="0" fontId="45" fillId="6" borderId="0" xfId="0" applyFont="1" applyFill="1"/>
    <xf numFmtId="0" fontId="0" fillId="0" borderId="0" xfId="0" applyFill="1" applyBorder="1" applyAlignment="1">
      <alignment vertical="top" wrapText="1"/>
    </xf>
    <xf numFmtId="0" fontId="0" fillId="0" borderId="31" xfId="0" applyFill="1" applyBorder="1" applyAlignment="1">
      <alignment vertical="top" wrapText="1"/>
    </xf>
    <xf numFmtId="0" fontId="49" fillId="7" borderId="33" xfId="0" applyFont="1" applyFill="1" applyBorder="1" applyAlignment="1">
      <alignment vertical="top" wrapText="1"/>
    </xf>
    <xf numFmtId="0" fontId="49" fillId="7" borderId="34" xfId="0" applyFont="1" applyFill="1" applyBorder="1" applyAlignment="1">
      <alignment vertical="top" wrapText="1"/>
    </xf>
    <xf numFmtId="0" fontId="31" fillId="0" borderId="35" xfId="0" applyFont="1" applyFill="1" applyBorder="1" applyAlignment="1">
      <alignment horizontal="center" vertical="center" wrapText="1"/>
    </xf>
    <xf numFmtId="0" fontId="27" fillId="7" borderId="36" xfId="0" applyFont="1" applyFill="1" applyBorder="1" applyAlignment="1">
      <alignment horizontal="center" vertical="center" wrapText="1"/>
    </xf>
    <xf numFmtId="0" fontId="31" fillId="7" borderId="37" xfId="0" applyFont="1" applyFill="1" applyBorder="1" applyAlignment="1">
      <alignment horizontal="center" vertical="center" wrapText="1"/>
    </xf>
    <xf numFmtId="0" fontId="31" fillId="7" borderId="38" xfId="0" applyFont="1" applyFill="1" applyBorder="1" applyAlignment="1">
      <alignment horizontal="center" vertical="center" wrapText="1"/>
    </xf>
    <xf numFmtId="0" fontId="31" fillId="7" borderId="35" xfId="0" applyFont="1" applyFill="1" applyBorder="1" applyAlignment="1">
      <alignment horizontal="center" vertical="center" wrapText="1"/>
    </xf>
    <xf numFmtId="0" fontId="29" fillId="0" borderId="36" xfId="0" applyFont="1" applyFill="1" applyBorder="1" applyAlignment="1">
      <alignment horizontal="center" vertical="center" wrapText="1"/>
    </xf>
    <xf numFmtId="1" fontId="27" fillId="8" borderId="36" xfId="0" applyNumberFormat="1" applyFont="1" applyFill="1" applyBorder="1" applyAlignment="1">
      <alignment horizontal="center" vertical="center" wrapText="1"/>
    </xf>
    <xf numFmtId="1" fontId="27" fillId="8" borderId="39" xfId="0" applyNumberFormat="1" applyFont="1" applyFill="1" applyBorder="1" applyAlignment="1">
      <alignment horizontal="center" vertical="center" wrapText="1"/>
    </xf>
    <xf numFmtId="1" fontId="27" fillId="8" borderId="40" xfId="0" applyNumberFormat="1" applyFont="1" applyFill="1" applyBorder="1" applyAlignment="1">
      <alignment horizontal="center" vertical="center" wrapText="1"/>
    </xf>
    <xf numFmtId="1" fontId="27" fillId="8" borderId="44" xfId="0" applyNumberFormat="1" applyFont="1" applyFill="1" applyBorder="1" applyAlignment="1">
      <alignment horizontal="center" vertical="center" wrapText="1"/>
    </xf>
    <xf numFmtId="1" fontId="27" fillId="8" borderId="45" xfId="0" applyNumberFormat="1" applyFont="1" applyFill="1" applyBorder="1" applyAlignment="1">
      <alignment horizontal="center" vertical="center" wrapText="1"/>
    </xf>
    <xf numFmtId="1" fontId="27" fillId="8" borderId="46" xfId="0" applyNumberFormat="1" applyFont="1" applyFill="1" applyBorder="1" applyAlignment="1">
      <alignment horizontal="center" vertical="center" wrapText="1"/>
    </xf>
    <xf numFmtId="1" fontId="27" fillId="8" borderId="47" xfId="0" applyNumberFormat="1" applyFont="1" applyFill="1" applyBorder="1" applyAlignment="1">
      <alignment horizontal="center" vertical="center" wrapText="1"/>
    </xf>
    <xf numFmtId="1" fontId="27" fillId="8" borderId="48" xfId="0" applyNumberFormat="1" applyFont="1" applyFill="1" applyBorder="1" applyAlignment="1">
      <alignment horizontal="center" vertical="center" wrapText="1"/>
    </xf>
    <xf numFmtId="1" fontId="27" fillId="8" borderId="49" xfId="0" applyNumberFormat="1" applyFont="1" applyFill="1" applyBorder="1" applyAlignment="1">
      <alignment horizontal="center" vertical="center" wrapText="1"/>
    </xf>
    <xf numFmtId="0" fontId="49" fillId="7" borderId="32" xfId="0" applyFont="1" applyFill="1" applyBorder="1" applyAlignment="1">
      <alignment vertical="top"/>
    </xf>
    <xf numFmtId="0" fontId="31" fillId="7" borderId="0" xfId="0" applyFont="1" applyFill="1" applyBorder="1" applyAlignment="1">
      <alignment horizontal="center" vertical="center" wrapText="1"/>
    </xf>
    <xf numFmtId="0" fontId="52" fillId="10" borderId="54" xfId="7" applyBorder="1" applyAlignment="1">
      <alignment horizontal="center" vertical="center"/>
    </xf>
    <xf numFmtId="0" fontId="52" fillId="10" borderId="55" xfId="7" applyBorder="1" applyAlignment="1">
      <alignment horizontal="center" vertical="center"/>
    </xf>
    <xf numFmtId="0" fontId="52" fillId="10" borderId="51" xfId="7" applyBorder="1" applyAlignment="1">
      <alignment vertical="center"/>
    </xf>
    <xf numFmtId="3" fontId="0" fillId="0" borderId="50" xfId="0" applyNumberFormat="1" applyFont="1" applyFill="1" applyBorder="1" applyAlignment="1">
      <alignment horizontal="right" vertical="center"/>
    </xf>
    <xf numFmtId="3" fontId="0" fillId="0" borderId="51" xfId="0" applyNumberFormat="1" applyFont="1" applyFill="1" applyBorder="1" applyAlignment="1">
      <alignment horizontal="right" vertical="center"/>
    </xf>
    <xf numFmtId="0" fontId="52" fillId="10" borderId="53" xfId="7" applyBorder="1" applyAlignment="1">
      <alignment vertical="center"/>
    </xf>
    <xf numFmtId="3" fontId="0" fillId="0" borderId="52" xfId="0" applyNumberFormat="1" applyFont="1" applyFill="1" applyBorder="1" applyAlignment="1">
      <alignment horizontal="right" vertical="center"/>
    </xf>
    <xf numFmtId="3" fontId="0" fillId="0" borderId="53" xfId="0" applyNumberFormat="1" applyFont="1" applyFill="1" applyBorder="1" applyAlignment="1">
      <alignment horizontal="right" vertical="center"/>
    </xf>
    <xf numFmtId="0" fontId="52" fillId="10" borderId="50" xfId="7" applyBorder="1" applyAlignment="1">
      <alignment vertical="center" wrapText="1"/>
    </xf>
    <xf numFmtId="0" fontId="52" fillId="10" borderId="53" xfId="7" applyBorder="1" applyAlignment="1">
      <alignment vertical="center" wrapText="1"/>
    </xf>
    <xf numFmtId="0" fontId="52" fillId="10" borderId="55" xfId="7" applyBorder="1" applyAlignment="1">
      <alignment vertical="center" wrapText="1"/>
    </xf>
    <xf numFmtId="0" fontId="51" fillId="7" borderId="36" xfId="0" applyFont="1" applyFill="1" applyBorder="1" applyAlignment="1">
      <alignment horizontal="center" vertical="center" wrapText="1"/>
    </xf>
    <xf numFmtId="9" fontId="27" fillId="9" borderId="41" xfId="0" applyNumberFormat="1" applyFont="1" applyFill="1" applyBorder="1" applyAlignment="1">
      <alignment horizontal="center" vertical="center" wrapText="1"/>
    </xf>
    <xf numFmtId="9" fontId="27" fillId="9" borderId="42" xfId="0" applyNumberFormat="1" applyFont="1" applyFill="1" applyBorder="1" applyAlignment="1">
      <alignment horizontal="center" vertical="center" wrapText="1"/>
    </xf>
    <xf numFmtId="9" fontId="27" fillId="9" borderId="43" xfId="0" applyNumberFormat="1" applyFont="1" applyFill="1" applyBorder="1" applyAlignment="1">
      <alignment horizontal="center" vertical="center" wrapText="1"/>
    </xf>
    <xf numFmtId="0" fontId="45" fillId="0" borderId="0" xfId="0" applyFont="1" applyBorder="1"/>
    <xf numFmtId="0" fontId="54" fillId="0" borderId="0" xfId="0" applyFont="1"/>
    <xf numFmtId="165" fontId="0" fillId="0" borderId="52" xfId="8" applyNumberFormat="1" applyFont="1" applyFill="1" applyBorder="1" applyAlignment="1">
      <alignment horizontal="right" vertical="center"/>
    </xf>
    <xf numFmtId="165" fontId="0" fillId="0" borderId="57" xfId="8" applyNumberFormat="1" applyFont="1" applyFill="1" applyBorder="1" applyAlignment="1">
      <alignment horizontal="right" vertical="center"/>
    </xf>
    <xf numFmtId="165" fontId="0" fillId="0" borderId="53" xfId="8" applyNumberFormat="1" applyFont="1" applyFill="1" applyBorder="1" applyAlignment="1">
      <alignment horizontal="right" vertical="center"/>
    </xf>
    <xf numFmtId="165" fontId="0" fillId="0" borderId="58" xfId="8" applyNumberFormat="1" applyFont="1" applyFill="1" applyBorder="1" applyAlignment="1">
      <alignment horizontal="right" vertical="center"/>
    </xf>
    <xf numFmtId="164" fontId="0" fillId="0" borderId="0" xfId="0" applyNumberFormat="1"/>
    <xf numFmtId="165" fontId="26" fillId="0" borderId="58" xfId="8" applyNumberFormat="1" applyFont="1" applyFill="1" applyBorder="1" applyAlignment="1">
      <alignment horizontal="right" vertical="center"/>
    </xf>
    <xf numFmtId="164" fontId="26" fillId="0" borderId="0" xfId="0" applyNumberFormat="1" applyFont="1"/>
    <xf numFmtId="9" fontId="26" fillId="0" borderId="0" xfId="0" applyNumberFormat="1" applyFont="1"/>
    <xf numFmtId="0" fontId="57" fillId="0" borderId="0" xfId="0" applyFont="1"/>
    <xf numFmtId="166" fontId="57" fillId="0" borderId="0" xfId="0" applyNumberFormat="1" applyFont="1"/>
    <xf numFmtId="164" fontId="57" fillId="0" borderId="0" xfId="0" applyNumberFormat="1" applyFont="1"/>
    <xf numFmtId="167" fontId="57" fillId="0" borderId="0" xfId="0" applyNumberFormat="1" applyFont="1"/>
    <xf numFmtId="14" fontId="58" fillId="0" borderId="0" xfId="0" applyNumberFormat="1" applyFont="1" applyAlignment="1">
      <alignment horizontal="center" vertical="center"/>
    </xf>
    <xf numFmtId="164" fontId="58" fillId="0" borderId="0" xfId="0" applyNumberFormat="1" applyFont="1" applyAlignment="1">
      <alignment horizontal="right" vertical="center"/>
    </xf>
    <xf numFmtId="164" fontId="59" fillId="0" borderId="0" xfId="0" applyNumberFormat="1" applyFont="1"/>
    <xf numFmtId="167" fontId="59" fillId="0" borderId="0" xfId="0" applyNumberFormat="1" applyFont="1"/>
    <xf numFmtId="0" fontId="59" fillId="0" borderId="0" xfId="0" applyFont="1"/>
    <xf numFmtId="164" fontId="60" fillId="0" borderId="59" xfId="0" applyNumberFormat="1" applyFont="1" applyBorder="1"/>
    <xf numFmtId="164" fontId="60" fillId="0" borderId="60" xfId="0" applyNumberFormat="1" applyFont="1" applyBorder="1"/>
    <xf numFmtId="167" fontId="60" fillId="0" borderId="60" xfId="0" applyNumberFormat="1" applyFont="1" applyBorder="1"/>
    <xf numFmtId="168" fontId="57" fillId="0" borderId="0" xfId="0" applyNumberFormat="1" applyFont="1"/>
    <xf numFmtId="164" fontId="59" fillId="0" borderId="62" xfId="0" applyNumberFormat="1" applyFont="1" applyBorder="1"/>
    <xf numFmtId="164" fontId="59" fillId="0" borderId="63" xfId="0" applyNumberFormat="1" applyFont="1" applyBorder="1"/>
    <xf numFmtId="167" fontId="59" fillId="0" borderId="63" xfId="0" applyNumberFormat="1" applyFont="1" applyBorder="1"/>
    <xf numFmtId="0" fontId="59" fillId="0" borderId="64" xfId="0" applyFont="1" applyBorder="1"/>
    <xf numFmtId="164" fontId="59" fillId="0" borderId="65" xfId="0" applyNumberFormat="1" applyFont="1" applyBorder="1"/>
    <xf numFmtId="164" fontId="59" fillId="0" borderId="9" xfId="0" applyNumberFormat="1" applyFont="1" applyBorder="1"/>
    <xf numFmtId="167" fontId="59" fillId="0" borderId="9" xfId="0" applyNumberFormat="1" applyFont="1" applyBorder="1"/>
    <xf numFmtId="0" fontId="59" fillId="0" borderId="66" xfId="0" applyFont="1" applyBorder="1"/>
    <xf numFmtId="168" fontId="61" fillId="0" borderId="0" xfId="0" applyNumberFormat="1" applyFont="1"/>
    <xf numFmtId="164" fontId="60" fillId="0" borderId="65" xfId="0" applyNumberFormat="1" applyFont="1" applyBorder="1"/>
    <xf numFmtId="164" fontId="60" fillId="0" borderId="9" xfId="0" applyNumberFormat="1" applyFont="1" applyBorder="1"/>
    <xf numFmtId="167" fontId="60" fillId="0" borderId="9" xfId="0" applyNumberFormat="1" applyFont="1" applyBorder="1"/>
    <xf numFmtId="0" fontId="60" fillId="0" borderId="66" xfId="0" applyFont="1" applyBorder="1"/>
    <xf numFmtId="164" fontId="60" fillId="12" borderId="65" xfId="0" applyNumberFormat="1" applyFont="1" applyFill="1" applyBorder="1" applyAlignment="1">
      <alignment horizontal="center" vertical="center" wrapText="1"/>
    </xf>
    <xf numFmtId="164" fontId="60" fillId="12" borderId="9" xfId="0" applyNumberFormat="1" applyFont="1" applyFill="1" applyBorder="1" applyAlignment="1">
      <alignment horizontal="center" vertical="center" wrapText="1"/>
    </xf>
    <xf numFmtId="167" fontId="60" fillId="12" borderId="9" xfId="0" applyNumberFormat="1" applyFont="1" applyFill="1" applyBorder="1" applyAlignment="1">
      <alignment horizontal="center" vertical="center" wrapText="1"/>
    </xf>
    <xf numFmtId="0" fontId="61" fillId="0" borderId="0" xfId="0" applyFont="1"/>
    <xf numFmtId="166" fontId="60" fillId="0" borderId="59" xfId="0" applyNumberFormat="1" applyFont="1" applyBorder="1"/>
    <xf numFmtId="166" fontId="59" fillId="0" borderId="62" xfId="0" applyNumberFormat="1" applyFont="1" applyBorder="1"/>
    <xf numFmtId="0" fontId="59" fillId="0" borderId="63" xfId="0" applyFont="1" applyBorder="1"/>
    <xf numFmtId="166" fontId="59" fillId="0" borderId="65" xfId="0" applyNumberFormat="1" applyFont="1" applyBorder="1"/>
    <xf numFmtId="0" fontId="59" fillId="0" borderId="9" xfId="0" applyFont="1" applyBorder="1"/>
    <xf numFmtId="0" fontId="45" fillId="0" borderId="0" xfId="0" applyFont="1"/>
    <xf numFmtId="0" fontId="45" fillId="0" borderId="0" xfId="0" applyFont="1" applyAlignment="1">
      <alignment horizontal="center" vertical="center" wrapText="1"/>
    </xf>
    <xf numFmtId="166" fontId="60" fillId="13" borderId="65" xfId="0" applyNumberFormat="1" applyFont="1" applyFill="1" applyBorder="1" applyAlignment="1">
      <alignment vertical="center" wrapText="1"/>
    </xf>
    <xf numFmtId="164" fontId="60" fillId="14" borderId="9" xfId="0" applyNumberFormat="1" applyFont="1" applyFill="1" applyBorder="1" applyAlignment="1">
      <alignment horizontal="center" vertical="center" wrapText="1"/>
    </xf>
    <xf numFmtId="167" fontId="60" fillId="14" borderId="9" xfId="0" applyNumberFormat="1" applyFont="1" applyFill="1" applyBorder="1" applyAlignment="1">
      <alignment horizontal="center" vertical="center" wrapText="1"/>
    </xf>
    <xf numFmtId="0" fontId="60" fillId="13" borderId="9" xfId="0" applyFont="1" applyFill="1" applyBorder="1" applyAlignment="1">
      <alignment vertical="center" wrapText="1"/>
    </xf>
    <xf numFmtId="0" fontId="60" fillId="13" borderId="66" xfId="0" applyFont="1" applyFill="1" applyBorder="1" applyAlignment="1">
      <alignment vertical="center" wrapText="1"/>
    </xf>
    <xf numFmtId="169" fontId="0" fillId="0" borderId="0" xfId="0" applyNumberFormat="1"/>
    <xf numFmtId="168" fontId="0" fillId="0" borderId="0" xfId="0" applyNumberFormat="1"/>
    <xf numFmtId="167" fontId="0" fillId="0" borderId="0" xfId="0" applyNumberFormat="1"/>
    <xf numFmtId="0" fontId="47" fillId="0" borderId="9" xfId="0" applyFont="1" applyBorder="1" applyAlignment="1">
      <alignment vertical="center" wrapText="1"/>
    </xf>
    <xf numFmtId="0" fontId="48" fillId="0" borderId="71" xfId="0" applyFont="1" applyBorder="1" applyAlignment="1">
      <alignment vertical="center" wrapText="1"/>
    </xf>
    <xf numFmtId="0" fontId="46" fillId="0" borderId="9" xfId="0" applyFont="1" applyBorder="1" applyAlignment="1">
      <alignment vertical="center" wrapText="1"/>
    </xf>
    <xf numFmtId="0" fontId="47" fillId="0" borderId="63" xfId="0" applyFont="1" applyBorder="1" applyAlignment="1">
      <alignment vertical="center" wrapText="1"/>
    </xf>
    <xf numFmtId="164" fontId="27" fillId="2" borderId="9" xfId="0" applyNumberFormat="1" applyFont="1" applyFill="1" applyBorder="1" applyAlignment="1">
      <alignment horizontal="center" vertical="center" wrapText="1" readingOrder="1"/>
    </xf>
    <xf numFmtId="0" fontId="27" fillId="4" borderId="72" xfId="0" applyFont="1" applyFill="1" applyBorder="1" applyAlignment="1">
      <alignment horizontal="center" vertical="center" wrapText="1" readingOrder="1"/>
    </xf>
    <xf numFmtId="164" fontId="27" fillId="4" borderId="72" xfId="0" applyNumberFormat="1" applyFont="1" applyFill="1" applyBorder="1" applyAlignment="1">
      <alignment horizontal="center" vertical="center" wrapText="1" readingOrder="1"/>
    </xf>
    <xf numFmtId="164" fontId="27" fillId="4" borderId="73" xfId="0" applyNumberFormat="1" applyFont="1" applyFill="1" applyBorder="1" applyAlignment="1">
      <alignment horizontal="center" vertical="center" wrapText="1" readingOrder="1"/>
    </xf>
    <xf numFmtId="164" fontId="27" fillId="2" borderId="74" xfId="0" applyNumberFormat="1" applyFont="1" applyFill="1" applyBorder="1" applyAlignment="1">
      <alignment horizontal="center" vertical="center" wrapText="1" readingOrder="1"/>
    </xf>
    <xf numFmtId="0" fontId="0" fillId="0" borderId="0" xfId="0" applyAlignment="1">
      <alignment horizontal="left" indent="1"/>
    </xf>
    <xf numFmtId="1" fontId="39" fillId="0" borderId="0" xfId="0" applyNumberFormat="1" applyFont="1"/>
    <xf numFmtId="0" fontId="45" fillId="0" borderId="0" xfId="0" applyFont="1" applyFill="1"/>
    <xf numFmtId="0" fontId="48" fillId="0" borderId="9" xfId="0" applyFont="1" applyBorder="1" applyAlignment="1">
      <alignment vertical="center" wrapText="1"/>
    </xf>
    <xf numFmtId="0" fontId="24" fillId="0" borderId="0" xfId="0" applyFont="1"/>
    <xf numFmtId="0" fontId="60" fillId="0" borderId="61" xfId="0" applyFont="1" applyBorder="1"/>
    <xf numFmtId="0" fontId="36" fillId="0" borderId="9" xfId="3" applyFont="1" applyBorder="1" applyAlignment="1">
      <alignment horizontal="center" vertical="center" wrapText="1"/>
    </xf>
    <xf numFmtId="0" fontId="45" fillId="0" borderId="1" xfId="0" applyFont="1" applyBorder="1"/>
    <xf numFmtId="0" fontId="45" fillId="0" borderId="7" xfId="0" applyFont="1" applyBorder="1"/>
    <xf numFmtId="9" fontId="45" fillId="0" borderId="7" xfId="0" applyNumberFormat="1" applyFont="1" applyBorder="1"/>
    <xf numFmtId="0" fontId="32" fillId="0" borderId="0" xfId="1" applyBorder="1" applyAlignment="1">
      <alignment wrapText="1"/>
    </xf>
    <xf numFmtId="0" fontId="32" fillId="0" borderId="0" xfId="1" applyBorder="1"/>
    <xf numFmtId="0" fontId="23" fillId="0" borderId="0" xfId="0" applyFont="1"/>
    <xf numFmtId="3" fontId="27" fillId="0" borderId="0" xfId="0" applyNumberFormat="1" applyFont="1" applyFill="1" applyBorder="1" applyAlignment="1">
      <alignment horizontal="center" vertical="center" wrapText="1"/>
    </xf>
    <xf numFmtId="3" fontId="45" fillId="0" borderId="0" xfId="0" applyNumberFormat="1" applyFont="1" applyAlignment="1">
      <alignment horizontal="center" vertical="center"/>
    </xf>
    <xf numFmtId="0" fontId="26" fillId="0" borderId="0" xfId="0" applyFont="1" applyAlignment="1">
      <alignment wrapText="1"/>
    </xf>
    <xf numFmtId="0" fontId="23" fillId="0" borderId="0" xfId="0" applyFont="1" applyAlignment="1">
      <alignment wrapText="1"/>
    </xf>
    <xf numFmtId="0" fontId="29" fillId="16" borderId="77" xfId="0" applyFont="1" applyFill="1" applyBorder="1" applyAlignment="1">
      <alignment vertical="center" wrapText="1"/>
    </xf>
    <xf numFmtId="0" fontId="66" fillId="16" borderId="78" xfId="0" applyFont="1" applyFill="1" applyBorder="1" applyAlignment="1">
      <alignment horizontal="center" wrapText="1" readingOrder="1"/>
    </xf>
    <xf numFmtId="0" fontId="67" fillId="16" borderId="79" xfId="0" applyFont="1" applyFill="1" applyBorder="1" applyAlignment="1">
      <alignment horizontal="center" wrapText="1" readingOrder="1"/>
    </xf>
    <xf numFmtId="0" fontId="68" fillId="16" borderId="79" xfId="0" applyFont="1" applyFill="1" applyBorder="1" applyAlignment="1">
      <alignment horizontal="center" wrapText="1" readingOrder="1"/>
    </xf>
    <xf numFmtId="0" fontId="51" fillId="16" borderId="80" xfId="0" applyFont="1" applyFill="1" applyBorder="1" applyAlignment="1">
      <alignment horizontal="left" wrapText="1" readingOrder="1"/>
    </xf>
    <xf numFmtId="0" fontId="27" fillId="17" borderId="81" xfId="0" applyFont="1" applyFill="1" applyBorder="1" applyAlignment="1">
      <alignment horizontal="center" wrapText="1" readingOrder="1"/>
    </xf>
    <xf numFmtId="0" fontId="27" fillId="17" borderId="82" xfId="0" applyFont="1" applyFill="1" applyBorder="1" applyAlignment="1">
      <alignment horizontal="center" wrapText="1" readingOrder="1"/>
    </xf>
    <xf numFmtId="0" fontId="69" fillId="16" borderId="83" xfId="0" applyFont="1" applyFill="1" applyBorder="1" applyAlignment="1">
      <alignment horizontal="left" wrapText="1" readingOrder="1"/>
    </xf>
    <xf numFmtId="3" fontId="27" fillId="18" borderId="84" xfId="0" applyNumberFormat="1" applyFont="1" applyFill="1" applyBorder="1" applyAlignment="1">
      <alignment horizontal="right" wrapText="1" readingOrder="1"/>
    </xf>
    <xf numFmtId="9" fontId="27" fillId="18" borderId="85" xfId="0" applyNumberFormat="1" applyFont="1" applyFill="1" applyBorder="1" applyAlignment="1">
      <alignment horizontal="right" wrapText="1" readingOrder="1"/>
    </xf>
    <xf numFmtId="3" fontId="27" fillId="17" borderId="84" xfId="0" applyNumberFormat="1" applyFont="1" applyFill="1" applyBorder="1" applyAlignment="1">
      <alignment horizontal="right" wrapText="1" readingOrder="1"/>
    </xf>
    <xf numFmtId="9" fontId="27" fillId="17" borderId="85" xfId="0" applyNumberFormat="1" applyFont="1" applyFill="1" applyBorder="1" applyAlignment="1">
      <alignment horizontal="right" wrapText="1" readingOrder="1"/>
    </xf>
    <xf numFmtId="0" fontId="27" fillId="18" borderId="84" xfId="0" applyFont="1" applyFill="1" applyBorder="1" applyAlignment="1">
      <alignment horizontal="right" wrapText="1" readingOrder="1"/>
    </xf>
    <xf numFmtId="3" fontId="27" fillId="17" borderId="86" xfId="0" applyNumberFormat="1" applyFont="1" applyFill="1" applyBorder="1" applyAlignment="1">
      <alignment horizontal="right" wrapText="1" readingOrder="1"/>
    </xf>
    <xf numFmtId="9" fontId="27" fillId="17" borderId="87" xfId="0" applyNumberFormat="1" applyFont="1" applyFill="1" applyBorder="1" applyAlignment="1">
      <alignment horizontal="right" wrapText="1" readingOrder="1"/>
    </xf>
    <xf numFmtId="0" fontId="70" fillId="0" borderId="0" xfId="0" applyFont="1"/>
    <xf numFmtId="0" fontId="45" fillId="0" borderId="0" xfId="0" applyFont="1" applyAlignment="1">
      <alignment wrapText="1"/>
    </xf>
    <xf numFmtId="0" fontId="65" fillId="0" borderId="0" xfId="1" applyFont="1" applyBorder="1"/>
    <xf numFmtId="0" fontId="22" fillId="0" borderId="0" xfId="0" applyFont="1" applyAlignment="1">
      <alignment wrapText="1"/>
    </xf>
    <xf numFmtId="0" fontId="22" fillId="0" borderId="0" xfId="0" applyFont="1"/>
    <xf numFmtId="170" fontId="45" fillId="0" borderId="0" xfId="0" applyNumberFormat="1" applyFont="1"/>
    <xf numFmtId="8" fontId="45" fillId="0" borderId="0" xfId="0" applyNumberFormat="1" applyFont="1"/>
    <xf numFmtId="6" fontId="45" fillId="0" borderId="0" xfId="0" applyNumberFormat="1" applyFont="1"/>
    <xf numFmtId="8" fontId="45" fillId="0" borderId="0" xfId="0" applyNumberFormat="1" applyFont="1" applyAlignment="1">
      <alignment wrapText="1"/>
    </xf>
    <xf numFmtId="6" fontId="45" fillId="0" borderId="0" xfId="0" applyNumberFormat="1" applyFont="1" applyAlignment="1">
      <alignment wrapText="1"/>
    </xf>
    <xf numFmtId="0" fontId="32" fillId="0" borderId="0" xfId="1" applyAlignment="1">
      <alignment wrapText="1"/>
    </xf>
    <xf numFmtId="0" fontId="45" fillId="0" borderId="4" xfId="0" applyFont="1" applyBorder="1"/>
    <xf numFmtId="0" fontId="45" fillId="0" borderId="10" xfId="0" applyFont="1" applyBorder="1"/>
    <xf numFmtId="3" fontId="45" fillId="0" borderId="0" xfId="0" applyNumberFormat="1" applyFont="1"/>
    <xf numFmtId="0" fontId="29" fillId="0" borderId="0" xfId="13" applyFont="1" applyFill="1" applyBorder="1" applyAlignment="1">
      <alignment horizontal="left" vertical="top"/>
    </xf>
    <xf numFmtId="0" fontId="31" fillId="19" borderId="41" xfId="13" applyFont="1" applyFill="1" applyBorder="1" applyAlignment="1">
      <alignment vertical="top" wrapText="1"/>
    </xf>
    <xf numFmtId="0" fontId="29" fillId="0" borderId="41" xfId="13" applyFont="1" applyFill="1" applyBorder="1" applyAlignment="1">
      <alignment vertical="top" wrapText="1"/>
    </xf>
    <xf numFmtId="0" fontId="31" fillId="0" borderId="41" xfId="13" applyFont="1" applyFill="1" applyBorder="1" applyAlignment="1">
      <alignment vertical="top" wrapText="1"/>
    </xf>
    <xf numFmtId="0" fontId="29" fillId="0" borderId="89" xfId="13" applyFont="1" applyFill="1" applyBorder="1" applyAlignment="1">
      <alignment vertical="center" wrapText="1"/>
    </xf>
    <xf numFmtId="0" fontId="29" fillId="19" borderId="41" xfId="13" applyFont="1" applyFill="1" applyBorder="1" applyAlignment="1">
      <alignment vertical="top" wrapText="1"/>
    </xf>
    <xf numFmtId="0" fontId="29" fillId="19" borderId="89" xfId="13" applyFont="1" applyFill="1" applyBorder="1" applyAlignment="1">
      <alignment vertical="center" wrapText="1"/>
    </xf>
    <xf numFmtId="0" fontId="29" fillId="19" borderId="89" xfId="13" applyFont="1" applyFill="1" applyBorder="1" applyAlignment="1">
      <alignment wrapText="1"/>
    </xf>
    <xf numFmtId="0" fontId="29" fillId="19" borderId="36" xfId="13" applyFont="1" applyFill="1" applyBorder="1" applyAlignment="1">
      <alignment horizontal="left" vertical="top" wrapText="1"/>
    </xf>
    <xf numFmtId="0" fontId="29" fillId="19" borderId="90" xfId="13" applyFont="1" applyFill="1" applyBorder="1" applyAlignment="1">
      <alignment wrapText="1"/>
    </xf>
    <xf numFmtId="0" fontId="29" fillId="19" borderId="88" xfId="13" applyFont="1" applyFill="1" applyBorder="1" applyAlignment="1">
      <alignment wrapText="1"/>
    </xf>
    <xf numFmtId="0" fontId="29" fillId="0" borderId="36" xfId="13" applyFont="1" applyFill="1" applyBorder="1" applyAlignment="1">
      <alignment horizontal="left" vertical="top" wrapText="1"/>
    </xf>
    <xf numFmtId="0" fontId="29" fillId="0" borderId="88" xfId="13" applyFont="1" applyFill="1" applyBorder="1" applyAlignment="1">
      <alignment vertical="center" wrapText="1"/>
    </xf>
    <xf numFmtId="0" fontId="29" fillId="0" borderId="89" xfId="13" applyFont="1" applyFill="1" applyBorder="1" applyAlignment="1">
      <alignment wrapText="1"/>
    </xf>
    <xf numFmtId="0" fontId="29" fillId="0" borderId="90" xfId="13" applyFont="1" applyFill="1" applyBorder="1" applyAlignment="1">
      <alignment wrapText="1"/>
    </xf>
    <xf numFmtId="0" fontId="29" fillId="0" borderId="88" xfId="13" applyFont="1" applyFill="1" applyBorder="1" applyAlignment="1">
      <alignment wrapText="1"/>
    </xf>
    <xf numFmtId="0" fontId="31" fillId="19" borderId="36" xfId="13" applyFont="1" applyFill="1" applyBorder="1" applyAlignment="1">
      <alignment horizontal="left" vertical="top" wrapText="1"/>
    </xf>
    <xf numFmtId="0" fontId="29" fillId="19" borderId="88" xfId="13" applyFont="1" applyFill="1" applyBorder="1" applyAlignment="1">
      <alignment vertical="center" wrapText="1"/>
    </xf>
    <xf numFmtId="0" fontId="31" fillId="0" borderId="0" xfId="13" applyFont="1" applyFill="1" applyBorder="1" applyAlignment="1">
      <alignment horizontal="left" vertical="top"/>
    </xf>
    <xf numFmtId="0" fontId="65" fillId="0" borderId="0" xfId="1" applyFont="1"/>
    <xf numFmtId="0" fontId="31" fillId="20" borderId="36" xfId="13" applyFont="1" applyFill="1" applyBorder="1" applyAlignment="1">
      <alignment horizontal="left" vertical="top" wrapText="1" indent="2"/>
    </xf>
    <xf numFmtId="0" fontId="31" fillId="20" borderId="36" xfId="13" applyFont="1" applyFill="1" applyBorder="1" applyAlignment="1">
      <alignment horizontal="left" vertical="top" wrapText="1" indent="5"/>
    </xf>
    <xf numFmtId="4" fontId="27" fillId="2" borderId="9" xfId="0" applyNumberFormat="1" applyFont="1" applyFill="1" applyBorder="1" applyAlignment="1">
      <alignment horizontal="center" vertical="center" wrapText="1" readingOrder="1"/>
    </xf>
    <xf numFmtId="0" fontId="46" fillId="0" borderId="9" xfId="0" applyFont="1" applyBorder="1" applyAlignment="1">
      <alignment horizontal="center" vertical="center" wrapText="1"/>
    </xf>
    <xf numFmtId="0" fontId="48" fillId="0" borderId="9" xfId="0" applyFont="1" applyBorder="1" applyAlignment="1">
      <alignment horizontal="center" vertical="center" wrapText="1"/>
    </xf>
    <xf numFmtId="0" fontId="0" fillId="0" borderId="0" xfId="0"/>
    <xf numFmtId="3" fontId="0" fillId="0" borderId="0" xfId="0" applyNumberFormat="1"/>
    <xf numFmtId="0" fontId="45" fillId="0" borderId="0" xfId="0" applyFont="1" applyBorder="1" applyAlignment="1">
      <alignment wrapText="1"/>
    </xf>
    <xf numFmtId="0" fontId="65" fillId="0" borderId="0" xfId="1" applyFont="1" applyBorder="1" applyAlignment="1"/>
    <xf numFmtId="3" fontId="45" fillId="0" borderId="0" xfId="0" applyNumberFormat="1" applyFont="1" applyBorder="1" applyAlignment="1">
      <alignment horizontal="center" vertical="center"/>
    </xf>
    <xf numFmtId="1" fontId="45" fillId="0" borderId="0" xfId="0" applyNumberFormat="1" applyFont="1"/>
    <xf numFmtId="0" fontId="45" fillId="0" borderId="0" xfId="0" applyFont="1" applyBorder="1" applyAlignment="1">
      <alignment horizontal="center"/>
    </xf>
    <xf numFmtId="0" fontId="21" fillId="0" borderId="0" xfId="0" applyFont="1"/>
    <xf numFmtId="0" fontId="94" fillId="0" borderId="0" xfId="13" applyFont="1" applyFill="1" applyBorder="1" applyAlignment="1">
      <alignment horizontal="left" vertical="top"/>
    </xf>
    <xf numFmtId="0" fontId="95" fillId="0" borderId="0" xfId="0" applyFont="1"/>
    <xf numFmtId="0" fontId="57" fillId="2" borderId="0" xfId="0" applyFont="1" applyFill="1"/>
    <xf numFmtId="0" fontId="57" fillId="0" borderId="0" xfId="0" applyFont="1" applyAlignment="1">
      <alignment wrapText="1"/>
    </xf>
    <xf numFmtId="0" fontId="57" fillId="0" borderId="0" xfId="0" applyFont="1" applyAlignment="1">
      <alignment horizontal="center" vertical="center" wrapText="1"/>
    </xf>
    <xf numFmtId="4" fontId="57" fillId="0" borderId="0" xfId="0" applyNumberFormat="1" applyFont="1" applyAlignment="1">
      <alignment wrapText="1"/>
    </xf>
    <xf numFmtId="4" fontId="57" fillId="2" borderId="0" xfId="0" applyNumberFormat="1" applyFont="1" applyFill="1" applyAlignment="1">
      <alignment wrapText="1"/>
    </xf>
    <xf numFmtId="0" fontId="29" fillId="0" borderId="0" xfId="13" applyFont="1" applyFill="1" applyBorder="1" applyAlignment="1">
      <alignment horizontal="left" vertical="top" wrapText="1"/>
    </xf>
    <xf numFmtId="0" fontId="31" fillId="0" borderId="1" xfId="13" applyFont="1" applyFill="1" applyBorder="1" applyAlignment="1">
      <alignment horizontal="left" vertical="top"/>
    </xf>
    <xf numFmtId="0" fontId="29" fillId="0" borderId="3" xfId="13" applyFont="1" applyFill="1" applyBorder="1" applyAlignment="1">
      <alignment horizontal="left" vertical="top"/>
    </xf>
    <xf numFmtId="0" fontId="32" fillId="0" borderId="0" xfId="1" applyFill="1" applyBorder="1" applyAlignment="1">
      <alignment horizontal="left" vertical="top"/>
    </xf>
    <xf numFmtId="0" fontId="29" fillId="0" borderId="2" xfId="13" applyFont="1" applyFill="1" applyBorder="1" applyAlignment="1">
      <alignment horizontal="left" vertical="top"/>
    </xf>
    <xf numFmtId="0" fontId="31" fillId="20" borderId="99" xfId="13" applyFont="1" applyFill="1" applyBorder="1" applyAlignment="1">
      <alignment horizontal="left" vertical="top" wrapText="1" indent="1"/>
    </xf>
    <xf numFmtId="0" fontId="31" fillId="20" borderId="100" xfId="13" applyFont="1" applyFill="1" applyBorder="1" applyAlignment="1">
      <alignment horizontal="left" vertical="top" wrapText="1" indent="3"/>
    </xf>
    <xf numFmtId="0" fontId="29" fillId="19" borderId="101" xfId="13" applyFont="1" applyFill="1" applyBorder="1" applyAlignment="1">
      <alignment vertical="top" wrapText="1"/>
    </xf>
    <xf numFmtId="0" fontId="29" fillId="19" borderId="100" xfId="13" applyFont="1" applyFill="1" applyBorder="1" applyAlignment="1">
      <alignment horizontal="center" vertical="top" wrapText="1"/>
    </xf>
    <xf numFmtId="0" fontId="29" fillId="19" borderId="102" xfId="13" applyFont="1" applyFill="1" applyBorder="1" applyAlignment="1">
      <alignment vertical="top" wrapText="1"/>
    </xf>
    <xf numFmtId="0" fontId="29" fillId="0" borderId="101" xfId="13" applyFont="1" applyFill="1" applyBorder="1" applyAlignment="1">
      <alignment wrapText="1"/>
    </xf>
    <xf numFmtId="0" fontId="29" fillId="0" borderId="100" xfId="13" applyFont="1" applyFill="1" applyBorder="1" applyAlignment="1">
      <alignment horizontal="center" vertical="top" wrapText="1"/>
    </xf>
    <xf numFmtId="0" fontId="29" fillId="0" borderId="103" xfId="13" applyFont="1" applyFill="1" applyBorder="1" applyAlignment="1">
      <alignment wrapText="1"/>
    </xf>
    <xf numFmtId="0" fontId="29" fillId="0" borderId="100" xfId="13" applyFont="1" applyFill="1" applyBorder="1" applyAlignment="1">
      <alignment horizontal="left" vertical="top" wrapText="1" indent="4"/>
    </xf>
    <xf numFmtId="0" fontId="29" fillId="0" borderId="104" xfId="13" applyFont="1" applyFill="1" applyBorder="1" applyAlignment="1">
      <alignment vertical="center" wrapText="1"/>
    </xf>
    <xf numFmtId="0" fontId="29" fillId="0" borderId="102" xfId="13" applyFont="1" applyFill="1" applyBorder="1" applyAlignment="1">
      <alignment wrapText="1"/>
    </xf>
    <xf numFmtId="0" fontId="29" fillId="19" borderId="101" xfId="13" applyFont="1" applyFill="1" applyBorder="1" applyAlignment="1">
      <alignment wrapText="1"/>
    </xf>
    <xf numFmtId="0" fontId="29" fillId="19" borderId="103" xfId="13" applyFont="1" applyFill="1" applyBorder="1" applyAlignment="1">
      <alignment wrapText="1"/>
    </xf>
    <xf numFmtId="0" fontId="29" fillId="19" borderId="104" xfId="13" applyFont="1" applyFill="1" applyBorder="1" applyAlignment="1">
      <alignment vertical="center" wrapText="1"/>
    </xf>
    <xf numFmtId="0" fontId="29" fillId="19" borderId="104" xfId="13" applyFont="1" applyFill="1" applyBorder="1" applyAlignment="1">
      <alignment wrapText="1"/>
    </xf>
    <xf numFmtId="0" fontId="29" fillId="19" borderId="102" xfId="13" applyFont="1" applyFill="1" applyBorder="1" applyAlignment="1">
      <alignment wrapText="1"/>
    </xf>
    <xf numFmtId="0" fontId="29" fillId="19" borderId="100" xfId="13" applyFont="1" applyFill="1" applyBorder="1" applyAlignment="1">
      <alignment horizontal="right" vertical="top" wrapText="1" indent="3"/>
    </xf>
    <xf numFmtId="0" fontId="29" fillId="19" borderId="100" xfId="13" applyFont="1" applyFill="1" applyBorder="1" applyAlignment="1">
      <alignment horizontal="left" vertical="top" wrapText="1" indent="7"/>
    </xf>
    <xf numFmtId="0" fontId="29" fillId="19" borderId="100" xfId="13" applyFont="1" applyFill="1" applyBorder="1" applyAlignment="1">
      <alignment horizontal="left" vertical="top" wrapText="1" indent="3"/>
    </xf>
    <xf numFmtId="0" fontId="29" fillId="19" borderId="100" xfId="13" applyFont="1" applyFill="1" applyBorder="1" applyAlignment="1">
      <alignment horizontal="left" vertical="top" wrapText="1" indent="5"/>
    </xf>
    <xf numFmtId="0" fontId="29" fillId="19" borderId="100" xfId="13" applyFont="1" applyFill="1" applyBorder="1" applyAlignment="1">
      <alignment horizontal="left" vertical="top" wrapText="1" indent="4"/>
    </xf>
    <xf numFmtId="0" fontId="29" fillId="0" borderId="100" xfId="13" applyFont="1" applyFill="1" applyBorder="1" applyAlignment="1">
      <alignment horizontal="left" vertical="top" wrapText="1" indent="6"/>
    </xf>
    <xf numFmtId="0" fontId="29" fillId="0" borderId="100" xfId="13" applyFont="1" applyFill="1" applyBorder="1" applyAlignment="1">
      <alignment horizontal="right" vertical="top" wrapText="1" indent="2"/>
    </xf>
    <xf numFmtId="0" fontId="29" fillId="0" borderId="100" xfId="13" applyFont="1" applyFill="1" applyBorder="1" applyAlignment="1">
      <alignment horizontal="left" vertical="top" wrapText="1" indent="7"/>
    </xf>
    <xf numFmtId="0" fontId="29" fillId="19" borderId="99" xfId="13" applyFont="1" applyFill="1" applyBorder="1" applyAlignment="1">
      <alignment horizontal="left" vertical="top" wrapText="1"/>
    </xf>
    <xf numFmtId="0" fontId="29" fillId="0" borderId="99" xfId="13" applyFont="1" applyFill="1" applyBorder="1" applyAlignment="1">
      <alignment horizontal="left" vertical="top" wrapText="1"/>
    </xf>
    <xf numFmtId="0" fontId="29" fillId="19" borderId="101" xfId="13" applyFont="1" applyFill="1" applyBorder="1" applyAlignment="1">
      <alignment vertical="center" wrapText="1"/>
    </xf>
    <xf numFmtId="0" fontId="29" fillId="19" borderId="103" xfId="13" applyFont="1" applyFill="1" applyBorder="1" applyAlignment="1">
      <alignment vertical="center" wrapText="1"/>
    </xf>
    <xf numFmtId="0" fontId="29" fillId="19" borderId="100" xfId="13" applyFont="1" applyFill="1" applyBorder="1" applyAlignment="1">
      <alignment horizontal="right" vertical="top" wrapText="1" indent="2"/>
    </xf>
    <xf numFmtId="0" fontId="29" fillId="19" borderId="102" xfId="13" applyFont="1" applyFill="1" applyBorder="1" applyAlignment="1">
      <alignment vertical="center" wrapText="1"/>
    </xf>
    <xf numFmtId="0" fontId="29" fillId="0" borderId="101" xfId="13" applyFont="1" applyFill="1" applyBorder="1" applyAlignment="1">
      <alignment vertical="center" wrapText="1"/>
    </xf>
    <xf numFmtId="0" fontId="29" fillId="0" borderId="103" xfId="13" applyFont="1" applyFill="1" applyBorder="1" applyAlignment="1">
      <alignment vertical="center" wrapText="1"/>
    </xf>
    <xf numFmtId="0" fontId="29" fillId="0" borderId="102" xfId="13" applyFont="1" applyFill="1" applyBorder="1" applyAlignment="1">
      <alignment vertical="center" wrapText="1"/>
    </xf>
    <xf numFmtId="0" fontId="29" fillId="19" borderId="104" xfId="13" applyFont="1" applyFill="1" applyBorder="1" applyAlignment="1">
      <alignment vertical="top" wrapText="1"/>
    </xf>
    <xf numFmtId="0" fontId="29" fillId="0" borderId="105" xfId="13" applyFont="1" applyFill="1" applyBorder="1" applyAlignment="1">
      <alignment horizontal="left" vertical="top" wrapText="1"/>
    </xf>
    <xf numFmtId="0" fontId="29" fillId="0" borderId="106" xfId="13" applyFont="1" applyFill="1" applyBorder="1" applyAlignment="1">
      <alignment vertical="top" wrapText="1"/>
    </xf>
    <xf numFmtId="0" fontId="29" fillId="0" borderId="107" xfId="13" applyFont="1" applyFill="1" applyBorder="1" applyAlignment="1">
      <alignment horizontal="center" vertical="top" wrapText="1"/>
    </xf>
    <xf numFmtId="0" fontId="31" fillId="20" borderId="99" xfId="13" applyFont="1" applyFill="1" applyBorder="1" applyAlignment="1">
      <alignment horizontal="left" vertical="top" wrapText="1" indent="3"/>
    </xf>
    <xf numFmtId="0" fontId="29" fillId="19" borderId="99" xfId="13" applyFont="1" applyFill="1" applyBorder="1" applyAlignment="1">
      <alignment horizontal="center" vertical="top" wrapText="1"/>
    </xf>
    <xf numFmtId="0" fontId="29" fillId="19" borderId="105" xfId="13" applyFont="1" applyFill="1" applyBorder="1" applyAlignment="1">
      <alignment horizontal="center" vertical="top" wrapText="1"/>
    </xf>
    <xf numFmtId="0" fontId="29" fillId="0" borderId="7" xfId="13" applyFont="1" applyFill="1" applyBorder="1" applyAlignment="1">
      <alignment horizontal="left" vertical="top"/>
    </xf>
    <xf numFmtId="0" fontId="31" fillId="0" borderId="4" xfId="13" applyFont="1" applyFill="1" applyBorder="1" applyAlignment="1">
      <alignment horizontal="left" vertical="top"/>
    </xf>
    <xf numFmtId="0" fontId="31" fillId="0" borderId="5" xfId="13" applyFont="1" applyFill="1" applyBorder="1" applyAlignment="1">
      <alignment horizontal="left" vertical="top" wrapText="1"/>
    </xf>
    <xf numFmtId="0" fontId="31" fillId="0" borderId="3" xfId="13" applyFont="1" applyFill="1" applyBorder="1" applyAlignment="1">
      <alignment horizontal="left" vertical="top"/>
    </xf>
    <xf numFmtId="0" fontId="31" fillId="0" borderId="5" xfId="13" applyFont="1" applyFill="1" applyBorder="1" applyAlignment="1">
      <alignment horizontal="left" vertical="top"/>
    </xf>
    <xf numFmtId="0" fontId="26" fillId="0" borderId="5" xfId="0" applyFont="1" applyBorder="1"/>
    <xf numFmtId="0" fontId="31" fillId="0" borderId="6" xfId="13" applyFont="1" applyFill="1" applyBorder="1" applyAlignment="1">
      <alignment horizontal="left" vertical="top"/>
    </xf>
    <xf numFmtId="0" fontId="31" fillId="0" borderId="8" xfId="13" applyFont="1" applyFill="1" applyBorder="1" applyAlignment="1">
      <alignment horizontal="left" vertical="top"/>
    </xf>
    <xf numFmtId="0" fontId="31" fillId="0" borderId="4" xfId="13" applyFont="1" applyFill="1" applyBorder="1" applyAlignment="1">
      <alignment horizontal="left" vertical="top" wrapText="1"/>
    </xf>
    <xf numFmtId="0" fontId="29" fillId="0" borderId="5" xfId="1" applyFont="1" applyBorder="1" applyAlignment="1">
      <alignment wrapText="1"/>
    </xf>
    <xf numFmtId="0" fontId="89" fillId="52" borderId="9" xfId="0" applyFont="1" applyFill="1" applyBorder="1" applyAlignment="1">
      <alignment horizontal="center" vertical="center"/>
    </xf>
    <xf numFmtId="9" fontId="89" fillId="52" borderId="9" xfId="0" applyNumberFormat="1" applyFont="1" applyFill="1" applyBorder="1" applyAlignment="1">
      <alignment horizontal="center" vertical="center" wrapText="1"/>
    </xf>
    <xf numFmtId="0" fontId="89" fillId="52" borderId="9" xfId="0" applyFont="1" applyFill="1" applyBorder="1" applyAlignment="1">
      <alignment horizontal="center" vertical="center" wrapText="1"/>
    </xf>
    <xf numFmtId="0" fontId="45" fillId="53" borderId="0" xfId="0" applyFont="1" applyFill="1" applyAlignment="1">
      <alignment horizontal="center" vertical="center" wrapText="1"/>
    </xf>
    <xf numFmtId="0" fontId="93" fillId="0" borderId="0" xfId="0" applyFont="1" applyBorder="1"/>
    <xf numFmtId="0" fontId="93" fillId="0" borderId="0" xfId="0" applyFont="1" applyAlignment="1">
      <alignment horizontal="center" vertical="center" wrapText="1"/>
    </xf>
    <xf numFmtId="3" fontId="45" fillId="0" borderId="9" xfId="0" applyNumberFormat="1" applyFont="1" applyBorder="1" applyAlignment="1">
      <alignment horizontal="center" vertical="center"/>
    </xf>
    <xf numFmtId="0" fontId="57" fillId="0" borderId="0" xfId="0" applyFont="1" applyAlignment="1">
      <alignment horizontal="left" vertical="top" wrapText="1"/>
    </xf>
    <xf numFmtId="0" fontId="57" fillId="0" borderId="0" xfId="0" applyFont="1" applyAlignment="1">
      <alignment horizontal="left" vertical="top"/>
    </xf>
    <xf numFmtId="0" fontId="45" fillId="5" borderId="0" xfId="0" applyFont="1" applyFill="1" applyBorder="1"/>
    <xf numFmtId="0" fontId="45" fillId="5" borderId="18" xfId="0" applyFont="1" applyFill="1" applyBorder="1"/>
    <xf numFmtId="0" fontId="45" fillId="0" borderId="18" xfId="0" applyFont="1" applyBorder="1" applyAlignment="1">
      <alignment horizontal="left"/>
    </xf>
    <xf numFmtId="0" fontId="45" fillId="0" borderId="0" xfId="0" applyFont="1" applyAlignment="1">
      <alignment horizontal="left"/>
    </xf>
    <xf numFmtId="0" fontId="45" fillId="0" borderId="0" xfId="0" applyFont="1" applyBorder="1" applyAlignment="1">
      <alignment horizontal="left"/>
    </xf>
    <xf numFmtId="0" fontId="45" fillId="5" borderId="108" xfId="0" applyFont="1" applyFill="1" applyBorder="1" applyAlignment="1">
      <alignment horizontal="left"/>
    </xf>
    <xf numFmtId="0" fontId="45" fillId="5" borderId="108" xfId="0" applyFont="1" applyFill="1" applyBorder="1"/>
    <xf numFmtId="3" fontId="45" fillId="5" borderId="108" xfId="0" applyNumberFormat="1" applyFont="1" applyFill="1" applyBorder="1"/>
    <xf numFmtId="0" fontId="93" fillId="0" borderId="1" xfId="0" applyFont="1" applyBorder="1" applyAlignment="1">
      <alignment wrapText="1"/>
    </xf>
    <xf numFmtId="0" fontId="93" fillId="53" borderId="9" xfId="0" applyFont="1" applyFill="1" applyBorder="1" applyAlignment="1">
      <alignment horizontal="center" vertical="center"/>
    </xf>
    <xf numFmtId="0" fontId="45" fillId="53" borderId="9" xfId="0" applyFont="1" applyFill="1" applyBorder="1" applyAlignment="1">
      <alignment horizontal="center" vertical="center" wrapText="1"/>
    </xf>
    <xf numFmtId="0" fontId="45" fillId="0" borderId="9" xfId="0" applyFont="1" applyBorder="1" applyAlignment="1">
      <alignment horizontal="left" vertical="center"/>
    </xf>
    <xf numFmtId="3" fontId="45" fillId="53" borderId="9" xfId="0" applyNumberFormat="1" applyFont="1" applyFill="1" applyBorder="1" applyAlignment="1">
      <alignment horizontal="center" vertical="center"/>
    </xf>
    <xf numFmtId="0" fontId="71" fillId="0" borderId="1" xfId="0" applyFont="1" applyBorder="1"/>
    <xf numFmtId="0" fontId="63" fillId="0" borderId="5" xfId="0" applyFont="1" applyBorder="1" applyAlignment="1">
      <alignment wrapText="1"/>
    </xf>
    <xf numFmtId="3" fontId="45" fillId="0" borderId="0" xfId="0" applyNumberFormat="1" applyFont="1" applyBorder="1"/>
    <xf numFmtId="0" fontId="45" fillId="0" borderId="6" xfId="0" applyFont="1" applyBorder="1"/>
    <xf numFmtId="9" fontId="45" fillId="0" borderId="0" xfId="0" applyNumberFormat="1" applyFont="1" applyBorder="1"/>
    <xf numFmtId="0" fontId="32" fillId="0" borderId="8" xfId="1" applyBorder="1" applyAlignment="1">
      <alignment wrapText="1"/>
    </xf>
    <xf numFmtId="0" fontId="45" fillId="0" borderId="2" xfId="0" applyFont="1" applyBorder="1"/>
    <xf numFmtId="0" fontId="45" fillId="0" borderId="3" xfId="0" applyFont="1" applyBorder="1"/>
    <xf numFmtId="0" fontId="45" fillId="0" borderId="109" xfId="0" applyFont="1" applyBorder="1"/>
    <xf numFmtId="170" fontId="45" fillId="0" borderId="110" xfId="0" applyNumberFormat="1" applyFont="1" applyBorder="1"/>
    <xf numFmtId="9" fontId="31" fillId="54" borderId="9" xfId="0" applyNumberFormat="1" applyFont="1" applyFill="1" applyBorder="1" applyAlignment="1">
      <alignment horizontal="center" vertical="center" wrapText="1"/>
    </xf>
    <xf numFmtId="0" fontId="31" fillId="54" borderId="9" xfId="0" applyFont="1" applyFill="1" applyBorder="1" applyAlignment="1">
      <alignment horizontal="center" vertical="center" wrapText="1"/>
    </xf>
    <xf numFmtId="0" fontId="57" fillId="53" borderId="9" xfId="0" applyFont="1" applyFill="1" applyBorder="1" applyAlignment="1">
      <alignment horizontal="center" vertical="center"/>
    </xf>
    <xf numFmtId="0" fontId="57" fillId="0" borderId="0" xfId="0" applyFont="1" applyAlignment="1">
      <alignment vertical="center" wrapText="1"/>
    </xf>
    <xf numFmtId="0" fontId="57" fillId="0" borderId="0" xfId="0" applyFont="1" applyAlignment="1">
      <alignment horizontal="left" vertical="center" wrapText="1"/>
    </xf>
    <xf numFmtId="0" fontId="57" fillId="0" borderId="0" xfId="0" applyFont="1" applyAlignment="1">
      <alignment horizontal="left" vertical="center"/>
    </xf>
    <xf numFmtId="0" fontId="99" fillId="0" borderId="0" xfId="0" applyFont="1"/>
    <xf numFmtId="0" fontId="98" fillId="52" borderId="10" xfId="0" applyFont="1" applyFill="1" applyBorder="1" applyAlignment="1">
      <alignment horizontal="left" vertical="center"/>
    </xf>
    <xf numFmtId="0" fontId="98" fillId="52" borderId="111" xfId="0" applyFont="1" applyFill="1" applyBorder="1" applyAlignment="1">
      <alignment horizontal="left" vertical="center" wrapText="1"/>
    </xf>
    <xf numFmtId="0" fontId="99" fillId="55" borderId="112" xfId="0" applyFont="1" applyFill="1" applyBorder="1" applyAlignment="1">
      <alignment horizontal="left" vertical="center"/>
    </xf>
    <xf numFmtId="0" fontId="99" fillId="5" borderId="114" xfId="0" applyFont="1" applyFill="1" applyBorder="1" applyAlignment="1">
      <alignment horizontal="left" vertical="center"/>
    </xf>
    <xf numFmtId="0" fontId="99" fillId="55" borderId="114" xfId="0" applyFont="1" applyFill="1" applyBorder="1" applyAlignment="1">
      <alignment horizontal="left" vertical="center"/>
    </xf>
    <xf numFmtId="0" fontId="99" fillId="55" borderId="114" xfId="0" applyFont="1" applyFill="1" applyBorder="1"/>
    <xf numFmtId="0" fontId="99" fillId="5" borderId="114" xfId="0" applyFont="1" applyFill="1" applyBorder="1"/>
    <xf numFmtId="0" fontId="99" fillId="55" borderId="116" xfId="0" applyFont="1" applyFill="1" applyBorder="1"/>
    <xf numFmtId="0" fontId="101" fillId="0" borderId="0" xfId="0" applyFont="1" applyAlignment="1">
      <alignment horizontal="left" vertical="top" wrapText="1"/>
    </xf>
    <xf numFmtId="0" fontId="102" fillId="0" borderId="0" xfId="0" applyFont="1" applyAlignment="1">
      <alignment horizontal="left" vertical="top" wrapText="1"/>
    </xf>
    <xf numFmtId="0" fontId="61" fillId="0" borderId="9" xfId="0" applyFont="1" applyBorder="1" applyAlignment="1">
      <alignment horizontal="center" vertical="center" wrapText="1"/>
    </xf>
    <xf numFmtId="0" fontId="57" fillId="0" borderId="9" xfId="0" applyFont="1" applyBorder="1" applyAlignment="1">
      <alignment vertical="center"/>
    </xf>
    <xf numFmtId="168" fontId="57" fillId="0" borderId="9" xfId="0" applyNumberFormat="1" applyFont="1" applyBorder="1" applyAlignment="1">
      <alignment vertical="center"/>
    </xf>
    <xf numFmtId="169" fontId="57" fillId="0" borderId="9" xfId="0" applyNumberFormat="1" applyFont="1" applyBorder="1" applyAlignment="1">
      <alignment vertical="center"/>
    </xf>
    <xf numFmtId="167" fontId="57" fillId="0" borderId="9" xfId="0" applyNumberFormat="1" applyFont="1" applyBorder="1" applyAlignment="1">
      <alignment vertical="center"/>
    </xf>
    <xf numFmtId="0" fontId="93" fillId="0" borderId="9" xfId="0" applyFont="1" applyBorder="1" applyAlignment="1">
      <alignment horizontal="center" vertical="center" wrapText="1"/>
    </xf>
    <xf numFmtId="0" fontId="93" fillId="0" borderId="9" xfId="0" applyFont="1" applyBorder="1" applyAlignment="1">
      <alignment horizontal="center" vertical="center"/>
    </xf>
    <xf numFmtId="0" fontId="38" fillId="0" borderId="24" xfId="6" applyBorder="1" applyAlignment="1">
      <alignment wrapText="1"/>
    </xf>
    <xf numFmtId="0" fontId="35" fillId="0" borderId="0" xfId="2" applyAlignment="1">
      <alignment horizontal="left" wrapText="1"/>
    </xf>
    <xf numFmtId="0" fontId="0" fillId="0" borderId="0" xfId="0" applyAlignment="1">
      <alignment wrapText="1"/>
    </xf>
    <xf numFmtId="0" fontId="27" fillId="0" borderId="9" xfId="0" applyFont="1" applyBorder="1" applyAlignment="1">
      <alignment horizontal="center" vertical="center" wrapText="1"/>
    </xf>
    <xf numFmtId="0" fontId="0" fillId="0" borderId="24" xfId="0" applyBorder="1" applyAlignment="1">
      <alignment wrapText="1"/>
    </xf>
    <xf numFmtId="3" fontId="20" fillId="0" borderId="0" xfId="0" applyNumberFormat="1" applyFont="1"/>
    <xf numFmtId="0" fontId="20" fillId="0" borderId="0" xfId="0" applyFont="1"/>
    <xf numFmtId="0" fontId="104" fillId="53" borderId="9" xfId="0" applyFont="1" applyFill="1" applyBorder="1" applyAlignment="1">
      <alignment horizontal="center" vertical="center"/>
    </xf>
    <xf numFmtId="0" fontId="20" fillId="0" borderId="0" xfId="0" applyFont="1" applyAlignment="1">
      <alignment horizontal="center" vertical="center" wrapText="1"/>
    </xf>
    <xf numFmtId="0" fontId="20" fillId="0" borderId="9" xfId="0" applyFont="1" applyBorder="1" applyAlignment="1">
      <alignment horizontal="center" vertical="center"/>
    </xf>
    <xf numFmtId="0" fontId="20" fillId="0" borderId="0" xfId="0" applyFont="1" applyAlignment="1">
      <alignment horizontal="center" vertical="center"/>
    </xf>
    <xf numFmtId="0" fontId="20" fillId="0" borderId="11" xfId="0" applyFont="1" applyBorder="1"/>
    <xf numFmtId="0" fontId="20" fillId="0" borderId="12" xfId="0" applyFont="1" applyBorder="1"/>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6" fontId="20" fillId="0" borderId="0" xfId="0" applyNumberFormat="1" applyFont="1" applyBorder="1"/>
    <xf numFmtId="8" fontId="20" fillId="0" borderId="0" xfId="0" applyNumberFormat="1" applyFont="1"/>
    <xf numFmtId="4" fontId="20" fillId="0" borderId="0" xfId="0" applyNumberFormat="1" applyFont="1"/>
    <xf numFmtId="3" fontId="20" fillId="0" borderId="0" xfId="0" applyNumberFormat="1" applyFont="1" applyBorder="1"/>
    <xf numFmtId="0" fontId="20" fillId="0" borderId="0" xfId="0" applyFont="1" applyBorder="1"/>
    <xf numFmtId="0" fontId="20" fillId="0" borderId="0" xfId="0" applyFont="1" applyBorder="1" applyAlignment="1">
      <alignment wrapText="1"/>
    </xf>
    <xf numFmtId="0" fontId="20" fillId="0" borderId="5" xfId="0" applyFont="1" applyBorder="1" applyAlignment="1">
      <alignment wrapText="1"/>
    </xf>
    <xf numFmtId="0" fontId="20" fillId="0" borderId="0" xfId="0" applyFont="1" applyFill="1" applyBorder="1"/>
    <xf numFmtId="9" fontId="20" fillId="0" borderId="0" xfId="0" applyNumberFormat="1" applyFont="1" applyBorder="1"/>
    <xf numFmtId="1" fontId="20" fillId="0" borderId="0" xfId="0" applyNumberFormat="1" applyFont="1" applyBorder="1"/>
    <xf numFmtId="6" fontId="20" fillId="0" borderId="0" xfId="0" applyNumberFormat="1" applyFont="1"/>
    <xf numFmtId="0" fontId="20" fillId="0" borderId="0" xfId="0" applyFont="1" applyAlignment="1">
      <alignment wrapText="1"/>
    </xf>
    <xf numFmtId="3" fontId="57" fillId="0" borderId="0" xfId="0" applyNumberFormat="1" applyFont="1"/>
    <xf numFmtId="9" fontId="20" fillId="0" borderId="0" xfId="0" applyNumberFormat="1" applyFont="1"/>
    <xf numFmtId="0" fontId="20" fillId="0" borderId="14" xfId="0" applyFont="1" applyBorder="1" applyAlignment="1">
      <alignment wrapText="1"/>
    </xf>
    <xf numFmtId="0" fontId="20" fillId="0" borderId="56" xfId="0" applyFont="1" applyBorder="1"/>
    <xf numFmtId="0" fontId="20" fillId="0" borderId="15" xfId="0" applyFont="1" applyBorder="1"/>
    <xf numFmtId="0" fontId="20" fillId="55" borderId="113" xfId="0" applyFont="1" applyFill="1" applyBorder="1" applyAlignment="1">
      <alignment horizontal="left" vertical="center" wrapText="1"/>
    </xf>
    <xf numFmtId="0" fontId="20" fillId="5" borderId="115" xfId="0" applyFont="1" applyFill="1" applyBorder="1" applyAlignment="1">
      <alignment horizontal="left" vertical="center" wrapText="1"/>
    </xf>
    <xf numFmtId="0" fontId="20" fillId="55" borderId="115" xfId="0" applyFont="1" applyFill="1" applyBorder="1" applyAlignment="1">
      <alignment horizontal="left" vertical="center" wrapText="1"/>
    </xf>
    <xf numFmtId="0" fontId="20" fillId="55" borderId="115" xfId="0" applyFont="1" applyFill="1" applyBorder="1"/>
    <xf numFmtId="0" fontId="20" fillId="5" borderId="115" xfId="0" applyFont="1" applyFill="1" applyBorder="1"/>
    <xf numFmtId="0" fontId="20" fillId="55" borderId="117" xfId="0" applyFont="1" applyFill="1" applyBorder="1"/>
    <xf numFmtId="0" fontId="20" fillId="0" borderId="2" xfId="0" applyFont="1" applyBorder="1"/>
    <xf numFmtId="0" fontId="20" fillId="0" borderId="3" xfId="0" applyFont="1" applyBorder="1"/>
    <xf numFmtId="0" fontId="20" fillId="0" borderId="4" xfId="0" applyFont="1" applyBorder="1"/>
    <xf numFmtId="8" fontId="20" fillId="0" borderId="0" xfId="0" applyNumberFormat="1" applyFont="1" applyBorder="1"/>
    <xf numFmtId="0" fontId="20" fillId="0" borderId="5" xfId="0" applyFont="1" applyBorder="1" applyAlignment="1">
      <alignment horizontal="center" vertical="center" wrapText="1"/>
    </xf>
    <xf numFmtId="0" fontId="20" fillId="0" borderId="6" xfId="0" applyFont="1" applyBorder="1"/>
    <xf numFmtId="0" fontId="20" fillId="0" borderId="7" xfId="0" applyFont="1" applyBorder="1"/>
    <xf numFmtId="9" fontId="20" fillId="0" borderId="7" xfId="0" applyNumberFormat="1" applyFont="1" applyBorder="1"/>
    <xf numFmtId="0" fontId="20" fillId="0" borderId="5" xfId="0" applyFont="1" applyBorder="1"/>
    <xf numFmtId="0" fontId="20" fillId="0" borderId="8" xfId="0" applyFont="1" applyBorder="1"/>
    <xf numFmtId="0" fontId="20" fillId="0" borderId="0" xfId="0" applyFont="1" applyBorder="1" applyAlignment="1"/>
    <xf numFmtId="9" fontId="20" fillId="0" borderId="0" xfId="0" applyNumberFormat="1" applyFont="1" applyBorder="1" applyAlignment="1">
      <alignment horizontal="center" vertical="center"/>
    </xf>
    <xf numFmtId="2" fontId="20" fillId="0" borderId="0" xfId="0" applyNumberFormat="1" applyFont="1" applyBorder="1" applyAlignment="1">
      <alignment horizontal="center" vertical="center"/>
    </xf>
    <xf numFmtId="168" fontId="20" fillId="0" borderId="0" xfId="0" applyNumberFormat="1" applyFont="1" applyBorder="1"/>
    <xf numFmtId="4" fontId="20" fillId="0" borderId="0" xfId="0" applyNumberFormat="1" applyFont="1" applyFill="1" applyBorder="1"/>
    <xf numFmtId="1" fontId="20" fillId="0" borderId="0" xfId="0" applyNumberFormat="1" applyFont="1" applyFill="1" applyBorder="1"/>
    <xf numFmtId="4" fontId="20" fillId="0" borderId="0" xfId="0" applyNumberFormat="1" applyFont="1" applyBorder="1"/>
    <xf numFmtId="1" fontId="20" fillId="0" borderId="0" xfId="0" applyNumberFormat="1" applyFont="1"/>
    <xf numFmtId="3" fontId="20" fillId="0" borderId="0" xfId="0" applyNumberFormat="1" applyFont="1" applyAlignment="1">
      <alignment wrapText="1"/>
    </xf>
    <xf numFmtId="0" fontId="20" fillId="0" borderId="9" xfId="0" applyFont="1" applyBorder="1" applyAlignment="1">
      <alignment horizontal="center" vertical="center" wrapText="1"/>
    </xf>
    <xf numFmtId="3" fontId="20" fillId="3" borderId="9" xfId="0" applyNumberFormat="1" applyFont="1" applyFill="1" applyBorder="1" applyAlignment="1">
      <alignment horizontal="center" vertical="center"/>
    </xf>
    <xf numFmtId="3" fontId="20" fillId="2" borderId="9"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0" borderId="1" xfId="0" applyFont="1" applyBorder="1" applyAlignment="1">
      <alignment wrapText="1"/>
    </xf>
    <xf numFmtId="164" fontId="20" fillId="0" borderId="2" xfId="0" applyNumberFormat="1" applyFont="1" applyBorder="1" applyAlignment="1">
      <alignment horizontal="center" vertical="center"/>
    </xf>
    <xf numFmtId="164" fontId="20" fillId="0" borderId="0" xfId="0" applyNumberFormat="1" applyFont="1" applyBorder="1" applyAlignment="1">
      <alignment horizontal="center" vertical="center"/>
    </xf>
    <xf numFmtId="0" fontId="20" fillId="0" borderId="75" xfId="0" applyFont="1" applyBorder="1" applyAlignment="1">
      <alignment horizontal="center" vertical="center"/>
    </xf>
    <xf numFmtId="164" fontId="20" fillId="0" borderId="75" xfId="0" applyNumberFormat="1" applyFont="1" applyBorder="1" applyAlignment="1">
      <alignment horizontal="center" vertical="center"/>
    </xf>
    <xf numFmtId="164" fontId="20" fillId="0" borderId="7" xfId="0" applyNumberFormat="1" applyFont="1" applyBorder="1" applyAlignment="1">
      <alignment horizontal="center" vertical="center"/>
    </xf>
    <xf numFmtId="164" fontId="20" fillId="0" borderId="76" xfId="0" applyNumberFormat="1" applyFont="1" applyBorder="1" applyAlignment="1">
      <alignment horizontal="center" vertical="center"/>
    </xf>
    <xf numFmtId="0" fontId="20" fillId="0" borderId="1" xfId="0" applyFont="1" applyBorder="1"/>
    <xf numFmtId="0" fontId="20" fillId="0" borderId="4" xfId="0" applyFont="1" applyBorder="1" applyAlignment="1">
      <alignment horizontal="right"/>
    </xf>
    <xf numFmtId="3" fontId="20" fillId="0" borderId="0" xfId="0" applyNumberFormat="1" applyFont="1" applyAlignment="1">
      <alignment horizontal="center" vertical="center"/>
    </xf>
    <xf numFmtId="4" fontId="20" fillId="2" borderId="9" xfId="0" applyNumberFormat="1" applyFont="1" applyFill="1" applyBorder="1" applyAlignment="1">
      <alignment horizontal="center" vertical="center"/>
    </xf>
    <xf numFmtId="3" fontId="20" fillId="2" borderId="16" xfId="0" applyNumberFormat="1" applyFont="1" applyFill="1" applyBorder="1" applyAlignment="1">
      <alignment horizontal="center" vertical="center"/>
    </xf>
    <xf numFmtId="6" fontId="20" fillId="0" borderId="5" xfId="0" applyNumberFormat="1" applyFont="1" applyBorder="1"/>
    <xf numFmtId="6" fontId="20" fillId="0" borderId="7" xfId="0" applyNumberFormat="1" applyFont="1" applyBorder="1"/>
    <xf numFmtId="6" fontId="20" fillId="0" borderId="8" xfId="0" applyNumberFormat="1" applyFont="1" applyBorder="1"/>
    <xf numFmtId="170" fontId="20" fillId="0" borderId="0" xfId="0" applyNumberFormat="1" applyFont="1"/>
    <xf numFmtId="0" fontId="20" fillId="0" borderId="0" xfId="0" applyFont="1" applyAlignment="1">
      <alignment vertical="center" wrapText="1"/>
    </xf>
    <xf numFmtId="6" fontId="20" fillId="0" borderId="0" xfId="0" applyNumberFormat="1" applyFont="1" applyAlignment="1">
      <alignment wrapText="1"/>
    </xf>
    <xf numFmtId="0" fontId="20" fillId="0" borderId="10" xfId="0" applyFont="1" applyBorder="1"/>
    <xf numFmtId="0" fontId="20" fillId="0" borderId="16" xfId="0" applyFont="1" applyBorder="1"/>
    <xf numFmtId="0" fontId="20" fillId="0" borderId="13" xfId="0" applyFont="1" applyBorder="1"/>
    <xf numFmtId="0" fontId="20" fillId="0" borderId="14" xfId="0" applyFont="1" applyBorder="1"/>
    <xf numFmtId="0" fontId="20" fillId="0" borderId="11" xfId="0" applyFont="1" applyBorder="1" applyAlignment="1">
      <alignment wrapText="1"/>
    </xf>
    <xf numFmtId="165" fontId="20" fillId="0" borderId="0" xfId="0" applyNumberFormat="1" applyFont="1"/>
    <xf numFmtId="0" fontId="20" fillId="0" borderId="0" xfId="0" applyFont="1" applyAlignment="1">
      <alignment horizontal="right"/>
    </xf>
    <xf numFmtId="0" fontId="20" fillId="2" borderId="0" xfId="0" applyFont="1" applyFill="1"/>
    <xf numFmtId="3" fontId="20" fillId="2" borderId="0" xfId="0" applyNumberFormat="1" applyFont="1" applyFill="1"/>
    <xf numFmtId="0" fontId="57" fillId="0" borderId="0" xfId="0" applyFont="1" applyFill="1" applyAlignment="1">
      <alignment horizontal="left" vertical="top" wrapText="1"/>
    </xf>
    <xf numFmtId="0" fontId="19" fillId="0" borderId="0" xfId="0" applyFont="1"/>
    <xf numFmtId="4" fontId="19" fillId="0" borderId="0" xfId="0" applyNumberFormat="1" applyFont="1"/>
    <xf numFmtId="3" fontId="19" fillId="0" borderId="0" xfId="0" applyNumberFormat="1" applyFont="1"/>
    <xf numFmtId="1" fontId="19" fillId="0" borderId="0" xfId="0" applyNumberFormat="1" applyFont="1"/>
    <xf numFmtId="9" fontId="19" fillId="0" borderId="0" xfId="0" applyNumberFormat="1" applyFont="1"/>
    <xf numFmtId="164" fontId="19" fillId="0" borderId="0" xfId="0" applyNumberFormat="1" applyFont="1"/>
    <xf numFmtId="0" fontId="19" fillId="0" borderId="0" xfId="0" applyFont="1" applyAlignment="1">
      <alignment wrapText="1"/>
    </xf>
    <xf numFmtId="164" fontId="60" fillId="2" borderId="9" xfId="0" applyNumberFormat="1" applyFont="1" applyFill="1" applyBorder="1" applyAlignment="1">
      <alignment horizontal="center" vertical="center" wrapText="1"/>
    </xf>
    <xf numFmtId="3" fontId="19" fillId="0" borderId="0" xfId="0" applyNumberFormat="1" applyFont="1" applyBorder="1" applyAlignment="1">
      <alignment wrapText="1"/>
    </xf>
    <xf numFmtId="0" fontId="19" fillId="0" borderId="9" xfId="0" applyFont="1" applyBorder="1"/>
    <xf numFmtId="0" fontId="19" fillId="0" borderId="9" xfId="0" applyFont="1" applyBorder="1" applyAlignment="1">
      <alignment horizontal="center" vertical="center"/>
    </xf>
    <xf numFmtId="3" fontId="19" fillId="0" borderId="9" xfId="0" applyNumberFormat="1" applyFont="1" applyBorder="1"/>
    <xf numFmtId="0" fontId="19" fillId="0" borderId="0" xfId="16" applyFont="1"/>
    <xf numFmtId="0" fontId="19" fillId="0" borderId="0" xfId="0" applyFont="1" applyAlignment="1">
      <alignment horizontal="left"/>
    </xf>
    <xf numFmtId="0" fontId="19" fillId="0" borderId="0" xfId="16" applyFont="1" applyAlignment="1">
      <alignment vertical="center" wrapText="1"/>
    </xf>
    <xf numFmtId="0" fontId="19" fillId="53" borderId="0" xfId="0" applyFont="1" applyFill="1"/>
    <xf numFmtId="0" fontId="19" fillId="0" borderId="0" xfId="0" applyFont="1" applyFill="1" applyBorder="1"/>
    <xf numFmtId="0" fontId="18" fillId="0" borderId="0" xfId="0" applyFont="1"/>
    <xf numFmtId="0" fontId="18" fillId="0" borderId="9" xfId="0" applyFont="1" applyBorder="1" applyAlignment="1">
      <alignment horizontal="left" vertical="center"/>
    </xf>
    <xf numFmtId="3" fontId="18" fillId="0" borderId="9" xfId="0" applyNumberFormat="1" applyFont="1" applyBorder="1" applyAlignment="1">
      <alignment horizontal="left" vertical="center" wrapText="1"/>
    </xf>
    <xf numFmtId="0" fontId="18" fillId="0" borderId="0" xfId="0" applyFont="1" applyAlignment="1">
      <alignment horizontal="center" vertical="center" wrapText="1"/>
    </xf>
    <xf numFmtId="169" fontId="18" fillId="53" borderId="9" xfId="0" applyNumberFormat="1" applyFont="1" applyFill="1" applyBorder="1" applyAlignment="1">
      <alignment horizontal="right" vertical="center"/>
    </xf>
    <xf numFmtId="0" fontId="18" fillId="0" borderId="0" xfId="0" applyFont="1" applyAlignment="1">
      <alignment vertical="center"/>
    </xf>
    <xf numFmtId="9" fontId="18" fillId="53" borderId="9" xfId="0" applyNumberFormat="1" applyFont="1" applyFill="1" applyBorder="1" applyAlignment="1">
      <alignment horizontal="center" vertical="center"/>
    </xf>
    <xf numFmtId="0" fontId="18" fillId="0" borderId="9" xfId="0" applyFont="1" applyBorder="1" applyAlignment="1">
      <alignment horizontal="center" vertical="center"/>
    </xf>
    <xf numFmtId="0" fontId="18" fillId="0" borderId="9" xfId="0" applyFont="1" applyBorder="1" applyAlignment="1"/>
    <xf numFmtId="0" fontId="18" fillId="0" borderId="11" xfId="0" applyFont="1" applyBorder="1"/>
    <xf numFmtId="0" fontId="18" fillId="0" borderId="12" xfId="0" applyFont="1" applyBorder="1"/>
    <xf numFmtId="3" fontId="18" fillId="0" borderId="0" xfId="0" applyNumberFormat="1" applyFont="1"/>
    <xf numFmtId="0" fontId="18" fillId="0" borderId="0" xfId="0" applyFont="1" applyFill="1" applyBorder="1" applyAlignment="1">
      <alignment wrapText="1"/>
    </xf>
    <xf numFmtId="0" fontId="18" fillId="0" borderId="16" xfId="0" applyFont="1" applyBorder="1" applyAlignment="1">
      <alignment horizontal="center" vertical="center"/>
    </xf>
    <xf numFmtId="0" fontId="18" fillId="0" borderId="0" xfId="0" applyFont="1" applyBorder="1" applyAlignment="1">
      <alignment horizontal="center" vertical="center"/>
    </xf>
    <xf numFmtId="0" fontId="18" fillId="0" borderId="56"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0" xfId="0" applyFont="1" applyBorder="1" applyAlignment="1">
      <alignment horizontal="center" vertical="center" wrapText="1"/>
    </xf>
    <xf numFmtId="3" fontId="18" fillId="0" borderId="0" xfId="0" applyNumberFormat="1" applyFont="1" applyAlignment="1">
      <alignment horizontal="center" vertical="center" wrapText="1"/>
    </xf>
    <xf numFmtId="1" fontId="18" fillId="3" borderId="0" xfId="0" applyNumberFormat="1" applyFont="1" applyFill="1"/>
    <xf numFmtId="1" fontId="18" fillId="2" borderId="0" xfId="0" applyNumberFormat="1" applyFont="1" applyFill="1"/>
    <xf numFmtId="0" fontId="18" fillId="0" borderId="9" xfId="0" applyFont="1" applyBorder="1"/>
    <xf numFmtId="164" fontId="18" fillId="0" borderId="16" xfId="0" applyNumberFormat="1" applyFont="1" applyBorder="1"/>
    <xf numFmtId="164" fontId="18" fillId="0" borderId="0" xfId="0" applyNumberFormat="1" applyFont="1" applyBorder="1"/>
    <xf numFmtId="164" fontId="18" fillId="0" borderId="56" xfId="0" applyNumberFormat="1" applyFont="1" applyBorder="1"/>
    <xf numFmtId="6" fontId="18" fillId="0" borderId="16" xfId="0" applyNumberFormat="1" applyFont="1" applyBorder="1"/>
    <xf numFmtId="6" fontId="18" fillId="0" borderId="0" xfId="0" applyNumberFormat="1" applyFont="1" applyBorder="1"/>
    <xf numFmtId="9" fontId="18" fillId="0" borderId="56" xfId="0" applyNumberFormat="1" applyFont="1" applyBorder="1" applyAlignment="1">
      <alignment horizontal="center"/>
    </xf>
    <xf numFmtId="8" fontId="18" fillId="0" borderId="0" xfId="0" applyNumberFormat="1" applyFont="1"/>
    <xf numFmtId="4" fontId="18" fillId="0" borderId="0" xfId="0" applyNumberFormat="1" applyFont="1"/>
    <xf numFmtId="3" fontId="18" fillId="0" borderId="0" xfId="0" applyNumberFormat="1" applyFont="1" applyBorder="1"/>
    <xf numFmtId="0" fontId="18" fillId="0" borderId="0" xfId="0" applyFont="1" applyBorder="1"/>
    <xf numFmtId="0" fontId="18" fillId="0" borderId="2" xfId="0" applyFont="1" applyBorder="1" applyAlignment="1">
      <alignment wrapText="1"/>
    </xf>
    <xf numFmtId="0" fontId="18" fillId="0" borderId="4" xfId="0" applyFont="1" applyBorder="1" applyAlignment="1">
      <alignment horizontal="center" vertical="center" wrapText="1"/>
    </xf>
    <xf numFmtId="0" fontId="18" fillId="0" borderId="0" xfId="0" applyFont="1" applyBorder="1" applyAlignment="1">
      <alignment wrapText="1"/>
    </xf>
    <xf numFmtId="0" fontId="18" fillId="0" borderId="0" xfId="0" applyFont="1" applyFill="1" applyBorder="1"/>
    <xf numFmtId="1" fontId="18" fillId="53" borderId="9" xfId="0" applyNumberFormat="1" applyFont="1" applyFill="1" applyBorder="1" applyAlignment="1">
      <alignment wrapText="1"/>
    </xf>
    <xf numFmtId="3" fontId="18" fillId="53" borderId="9" xfId="0" applyNumberFormat="1" applyFont="1" applyFill="1" applyBorder="1" applyAlignment="1">
      <alignment wrapText="1"/>
    </xf>
    <xf numFmtId="1" fontId="18" fillId="0" borderId="0" xfId="0" applyNumberFormat="1" applyFont="1" applyBorder="1"/>
    <xf numFmtId="6" fontId="18" fillId="0" borderId="0" xfId="0" applyNumberFormat="1" applyFont="1"/>
    <xf numFmtId="4" fontId="18" fillId="0" borderId="0" xfId="0" applyNumberFormat="1" applyFont="1" applyAlignment="1">
      <alignment horizontal="center" vertical="center" wrapText="1"/>
    </xf>
    <xf numFmtId="0" fontId="18" fillId="0" borderId="0" xfId="0" applyFont="1" applyFill="1" applyBorder="1" applyAlignment="1">
      <alignment horizontal="center" vertical="center"/>
    </xf>
    <xf numFmtId="0" fontId="18" fillId="0" borderId="0" xfId="0" applyFont="1" applyAlignment="1">
      <alignment wrapText="1"/>
    </xf>
    <xf numFmtId="164" fontId="18" fillId="0" borderId="0" xfId="0" applyNumberFormat="1" applyFont="1"/>
    <xf numFmtId="4" fontId="18" fillId="0" borderId="0" xfId="0" applyNumberFormat="1" applyFont="1" applyBorder="1"/>
    <xf numFmtId="165" fontId="18" fillId="0" borderId="0" xfId="0" applyNumberFormat="1" applyFont="1"/>
    <xf numFmtId="9" fontId="18" fillId="0" borderId="0" xfId="0" applyNumberFormat="1" applyFont="1"/>
    <xf numFmtId="1" fontId="18" fillId="0" borderId="11" xfId="0" applyNumberFormat="1" applyFont="1" applyBorder="1" applyAlignment="1">
      <alignment wrapText="1"/>
    </xf>
    <xf numFmtId="3" fontId="18" fillId="0" borderId="12" xfId="0" applyNumberFormat="1" applyFont="1" applyBorder="1"/>
    <xf numFmtId="0" fontId="18" fillId="0" borderId="16" xfId="0" applyFont="1" applyFill="1" applyBorder="1" applyAlignment="1">
      <alignment wrapText="1"/>
    </xf>
    <xf numFmtId="1" fontId="18" fillId="0" borderId="0" xfId="0" applyNumberFormat="1" applyFont="1" applyBorder="1" applyAlignment="1">
      <alignment wrapText="1"/>
    </xf>
    <xf numFmtId="3" fontId="18" fillId="0" borderId="56" xfId="0" applyNumberFormat="1" applyFont="1" applyBorder="1"/>
    <xf numFmtId="0" fontId="18" fillId="0" borderId="13" xfId="0" applyFont="1" applyFill="1" applyBorder="1" applyAlignment="1">
      <alignment wrapText="1"/>
    </xf>
    <xf numFmtId="0" fontId="18" fillId="0" borderId="14" xfId="0" applyFont="1" applyBorder="1" applyAlignment="1">
      <alignment wrapText="1"/>
    </xf>
    <xf numFmtId="1" fontId="18" fillId="0" borderId="14" xfId="0" applyNumberFormat="1" applyFont="1" applyBorder="1" applyAlignment="1">
      <alignment wrapText="1"/>
    </xf>
    <xf numFmtId="3" fontId="18" fillId="0" borderId="15" xfId="0" applyNumberFormat="1" applyFont="1" applyBorder="1"/>
    <xf numFmtId="0" fontId="18" fillId="0" borderId="16" xfId="0" applyFont="1" applyBorder="1" applyAlignment="1">
      <alignment wrapText="1"/>
    </xf>
    <xf numFmtId="3" fontId="18" fillId="0" borderId="0" xfId="0" applyNumberFormat="1" applyFont="1" applyBorder="1" applyAlignment="1">
      <alignment wrapText="1"/>
    </xf>
    <xf numFmtId="0" fontId="18" fillId="0" borderId="56" xfId="0" applyFont="1" applyBorder="1"/>
    <xf numFmtId="0" fontId="18" fillId="0" borderId="13" xfId="0" applyFont="1" applyBorder="1" applyAlignment="1">
      <alignment wrapText="1"/>
    </xf>
    <xf numFmtId="3" fontId="18" fillId="0" borderId="14" xfId="0" applyNumberFormat="1" applyFont="1" applyBorder="1" applyAlignment="1">
      <alignment wrapText="1"/>
    </xf>
    <xf numFmtId="0" fontId="18" fillId="0" borderId="15" xfId="0" applyFont="1" applyBorder="1"/>
    <xf numFmtId="0" fontId="17" fillId="0" borderId="0" xfId="0" applyFont="1" applyFill="1"/>
    <xf numFmtId="3" fontId="16" fillId="0" borderId="0" xfId="0" applyNumberFormat="1" applyFont="1" applyAlignment="1">
      <alignment horizontal="center" vertical="center" wrapText="1"/>
    </xf>
    <xf numFmtId="0" fontId="15" fillId="0" borderId="0" xfId="0" applyFont="1" applyFill="1" applyAlignment="1">
      <alignment wrapText="1"/>
    </xf>
    <xf numFmtId="0" fontId="29" fillId="0" borderId="0" xfId="0" applyFont="1" applyFill="1" applyAlignment="1">
      <alignment wrapText="1"/>
    </xf>
    <xf numFmtId="0" fontId="19" fillId="0" borderId="0" xfId="0" applyFont="1" applyAlignment="1">
      <alignment horizontal="left" vertical="top" wrapText="1"/>
    </xf>
    <xf numFmtId="0" fontId="105" fillId="56" borderId="118" xfId="0" applyFont="1" applyFill="1" applyBorder="1" applyAlignment="1">
      <alignment vertical="center" wrapText="1"/>
    </xf>
    <xf numFmtId="0" fontId="106" fillId="56" borderId="119" xfId="0" applyFont="1" applyFill="1" applyBorder="1" applyAlignment="1">
      <alignment horizontal="center" wrapText="1" readingOrder="1"/>
    </xf>
    <xf numFmtId="0" fontId="106" fillId="56" borderId="120" xfId="0" applyFont="1" applyFill="1" applyBorder="1" applyAlignment="1">
      <alignment horizontal="center" wrapText="1" readingOrder="1"/>
    </xf>
    <xf numFmtId="0" fontId="107" fillId="56" borderId="121" xfId="0" applyFont="1" applyFill="1" applyBorder="1" applyAlignment="1">
      <alignment horizontal="left" wrapText="1" readingOrder="1"/>
    </xf>
    <xf numFmtId="0" fontId="108" fillId="57" borderId="122" xfId="0" applyFont="1" applyFill="1" applyBorder="1" applyAlignment="1">
      <alignment horizontal="center" wrapText="1" readingOrder="1"/>
    </xf>
    <xf numFmtId="0" fontId="108" fillId="57" borderId="123" xfId="0" applyFont="1" applyFill="1" applyBorder="1" applyAlignment="1">
      <alignment horizontal="center" wrapText="1" readingOrder="1"/>
    </xf>
    <xf numFmtId="0" fontId="109" fillId="56" borderId="124" xfId="0" applyFont="1" applyFill="1" applyBorder="1" applyAlignment="1">
      <alignment horizontal="left" wrapText="1" readingOrder="1"/>
    </xf>
    <xf numFmtId="3" fontId="27" fillId="58" borderId="125" xfId="0" applyNumberFormat="1" applyFont="1" applyFill="1" applyBorder="1" applyAlignment="1">
      <alignment horizontal="right" wrapText="1" readingOrder="1"/>
    </xf>
    <xf numFmtId="3" fontId="27" fillId="58" borderId="126" xfId="0" applyNumberFormat="1" applyFont="1" applyFill="1" applyBorder="1" applyAlignment="1">
      <alignment horizontal="right" wrapText="1" readingOrder="1"/>
    </xf>
    <xf numFmtId="3" fontId="27" fillId="57" borderId="125" xfId="0" applyNumberFormat="1" applyFont="1" applyFill="1" applyBorder="1" applyAlignment="1">
      <alignment horizontal="right" wrapText="1" readingOrder="1"/>
    </xf>
    <xf numFmtId="3" fontId="27" fillId="57" borderId="126" xfId="0" applyNumberFormat="1" applyFont="1" applyFill="1" applyBorder="1" applyAlignment="1">
      <alignment horizontal="right" wrapText="1" readingOrder="1"/>
    </xf>
    <xf numFmtId="0" fontId="27" fillId="58" borderId="126" xfId="0" applyFont="1" applyFill="1" applyBorder="1" applyAlignment="1">
      <alignment horizontal="right" wrapText="1" readingOrder="1"/>
    </xf>
    <xf numFmtId="0" fontId="109" fillId="56" borderId="127" xfId="0" applyFont="1" applyFill="1" applyBorder="1" applyAlignment="1">
      <alignment horizontal="left" wrapText="1" readingOrder="1"/>
    </xf>
    <xf numFmtId="3" fontId="27" fillId="58" borderId="128" xfId="0" applyNumberFormat="1" applyFont="1" applyFill="1" applyBorder="1" applyAlignment="1">
      <alignment horizontal="right" wrapText="1" readingOrder="1"/>
    </xf>
    <xf numFmtId="0" fontId="71" fillId="0" borderId="9" xfId="0" applyFont="1" applyBorder="1"/>
    <xf numFmtId="0" fontId="71" fillId="0" borderId="0" xfId="0" applyFont="1" applyAlignment="1">
      <alignment vertical="center"/>
    </xf>
    <xf numFmtId="0" fontId="71" fillId="0" borderId="2" xfId="0" applyFont="1" applyBorder="1" applyAlignment="1">
      <alignment wrapText="1"/>
    </xf>
    <xf numFmtId="0" fontId="93" fillId="0" borderId="129" xfId="0" applyFont="1" applyBorder="1"/>
    <xf numFmtId="3" fontId="93" fillId="0" borderId="129" xfId="0" applyNumberFormat="1" applyFont="1" applyBorder="1"/>
    <xf numFmtId="0" fontId="71" fillId="0" borderId="129" xfId="0" applyFont="1" applyBorder="1"/>
    <xf numFmtId="3" fontId="71" fillId="0" borderId="129" xfId="0" applyNumberFormat="1" applyFont="1" applyBorder="1"/>
    <xf numFmtId="0" fontId="14" fillId="0" borderId="0" xfId="0" applyFont="1"/>
    <xf numFmtId="0" fontId="13" fillId="0" borderId="0" xfId="0" applyFont="1"/>
    <xf numFmtId="164" fontId="18" fillId="0" borderId="0" xfId="0" applyNumberFormat="1" applyFont="1" applyAlignment="1">
      <alignment horizontal="center" vertical="center" wrapText="1"/>
    </xf>
    <xf numFmtId="0" fontId="12" fillId="0" borderId="0" xfId="0" applyFont="1"/>
    <xf numFmtId="3" fontId="12" fillId="53" borderId="9" xfId="0" applyNumberFormat="1" applyFont="1" applyFill="1" applyBorder="1" applyAlignment="1">
      <alignment horizontal="center" vertical="center"/>
    </xf>
    <xf numFmtId="3" fontId="18" fillId="53" borderId="9" xfId="0" applyNumberFormat="1" applyFont="1" applyFill="1" applyBorder="1" applyAlignment="1">
      <alignment horizontal="right" vertical="center"/>
    </xf>
    <xf numFmtId="0" fontId="18" fillId="0" borderId="5" xfId="0" applyFont="1" applyBorder="1" applyAlignment="1">
      <alignment horizontal="center" vertical="center" wrapText="1"/>
    </xf>
    <xf numFmtId="3" fontId="25" fillId="0" borderId="0" xfId="0" applyNumberFormat="1" applyFont="1"/>
    <xf numFmtId="0" fontId="11" fillId="0" borderId="0" xfId="0" applyFont="1"/>
    <xf numFmtId="0" fontId="11" fillId="0" borderId="0" xfId="0" applyFont="1" applyAlignment="1">
      <alignment wrapText="1"/>
    </xf>
    <xf numFmtId="0" fontId="57" fillId="59" borderId="0" xfId="0" applyFont="1" applyFill="1"/>
    <xf numFmtId="4" fontId="57" fillId="59" borderId="0" xfId="0" applyNumberFormat="1" applyFont="1" applyFill="1" applyAlignment="1">
      <alignment wrapText="1"/>
    </xf>
    <xf numFmtId="0" fontId="0" fillId="0" borderId="0" xfId="0" applyAlignment="1">
      <alignment wrapText="1"/>
    </xf>
    <xf numFmtId="165" fontId="0" fillId="0" borderId="0" xfId="0" applyNumberFormat="1"/>
    <xf numFmtId="0" fontId="10" fillId="0" borderId="0" xfId="0" applyFont="1"/>
    <xf numFmtId="3" fontId="0" fillId="0" borderId="0" xfId="0" applyNumberFormat="1" applyAlignment="1">
      <alignment wrapText="1"/>
    </xf>
    <xf numFmtId="0" fontId="26" fillId="5" borderId="18" xfId="0" applyFont="1" applyFill="1" applyBorder="1" applyAlignment="1">
      <alignment horizontal="center" vertical="center" wrapText="1"/>
    </xf>
    <xf numFmtId="0" fontId="26" fillId="5" borderId="108" xfId="0" applyFont="1" applyFill="1" applyBorder="1"/>
    <xf numFmtId="3" fontId="26" fillId="5" borderId="108" xfId="0" applyNumberFormat="1" applyFont="1" applyFill="1" applyBorder="1" applyAlignment="1">
      <alignment wrapText="1"/>
    </xf>
    <xf numFmtId="1" fontId="57" fillId="0" borderId="0" xfId="0" applyNumberFormat="1" applyFont="1"/>
    <xf numFmtId="0" fontId="26" fillId="5" borderId="18" xfId="0" applyFont="1" applyFill="1" applyBorder="1" applyAlignment="1">
      <alignment wrapText="1"/>
    </xf>
    <xf numFmtId="0" fontId="18" fillId="0" borderId="0" xfId="0" applyFont="1" applyAlignment="1">
      <alignment horizontal="center" vertical="center"/>
    </xf>
    <xf numFmtId="0" fontId="9" fillId="0" borderId="0" xfId="0" applyFont="1" applyBorder="1" applyAlignment="1">
      <alignment horizontal="center" vertical="center" wrapText="1"/>
    </xf>
    <xf numFmtId="0" fontId="9" fillId="0" borderId="0" xfId="0" applyFont="1"/>
    <xf numFmtId="0" fontId="8" fillId="0" borderId="0" xfId="0" applyFont="1"/>
    <xf numFmtId="0" fontId="7" fillId="0" borderId="0" xfId="0" applyFont="1"/>
    <xf numFmtId="0" fontId="6" fillId="0" borderId="0" xfId="0" applyFont="1"/>
    <xf numFmtId="0" fontId="18" fillId="0" borderId="0" xfId="0" applyFont="1" applyAlignment="1">
      <alignment horizontal="center" vertical="center"/>
    </xf>
    <xf numFmtId="0" fontId="5" fillId="0" borderId="0" xfId="0" applyFont="1"/>
    <xf numFmtId="10" fontId="18" fillId="0" borderId="0" xfId="0" applyNumberFormat="1" applyFont="1" applyBorder="1"/>
    <xf numFmtId="0" fontId="5" fillId="0" borderId="0" xfId="0" applyFont="1" applyBorder="1"/>
    <xf numFmtId="3" fontId="5" fillId="0" borderId="0" xfId="0" applyNumberFormat="1" applyFont="1" applyBorder="1"/>
    <xf numFmtId="0" fontId="5" fillId="0" borderId="0" xfId="0" applyFont="1" applyBorder="1" applyAlignment="1">
      <alignment horizontal="right"/>
    </xf>
    <xf numFmtId="3" fontId="18" fillId="0" borderId="0" xfId="0" applyNumberFormat="1" applyFont="1" applyBorder="1" applyAlignment="1">
      <alignment horizontal="right"/>
    </xf>
    <xf numFmtId="1" fontId="18" fillId="53" borderId="130" xfId="0" applyNumberFormat="1" applyFont="1" applyFill="1" applyBorder="1" applyAlignment="1">
      <alignment wrapText="1"/>
    </xf>
    <xf numFmtId="1" fontId="18" fillId="53" borderId="74" xfId="0" applyNumberFormat="1" applyFont="1" applyFill="1" applyBorder="1" applyAlignment="1">
      <alignment wrapText="1"/>
    </xf>
    <xf numFmtId="1" fontId="18" fillId="53" borderId="131" xfId="0" applyNumberFormat="1" applyFont="1" applyFill="1" applyBorder="1" applyAlignment="1">
      <alignment wrapText="1"/>
    </xf>
    <xf numFmtId="1" fontId="18" fillId="53" borderId="75" xfId="0" applyNumberFormat="1" applyFont="1" applyFill="1" applyBorder="1" applyAlignment="1">
      <alignment wrapText="1"/>
    </xf>
    <xf numFmtId="1" fontId="18" fillId="53" borderId="76" xfId="0" applyNumberFormat="1" applyFont="1" applyFill="1" applyBorder="1" applyAlignment="1">
      <alignment wrapText="1"/>
    </xf>
    <xf numFmtId="0" fontId="18" fillId="0" borderId="0" xfId="0" applyFont="1" applyBorder="1" applyAlignment="1">
      <alignment horizontal="left" vertical="center"/>
    </xf>
    <xf numFmtId="0" fontId="5" fillId="0" borderId="9" xfId="0" applyFont="1" applyBorder="1" applyAlignment="1">
      <alignment horizontal="left" vertical="center"/>
    </xf>
    <xf numFmtId="0" fontId="18" fillId="0" borderId="0" xfId="0" applyFont="1" applyBorder="1" applyAlignment="1"/>
    <xf numFmtId="0" fontId="46" fillId="0" borderId="0" xfId="0" applyFont="1" applyFill="1" applyAlignment="1">
      <alignment horizontal="left" vertical="top" wrapText="1"/>
    </xf>
    <xf numFmtId="0" fontId="4" fillId="0" borderId="9" xfId="0" applyFont="1" applyBorder="1" applyAlignment="1">
      <alignment horizontal="center" vertical="center"/>
    </xf>
    <xf numFmtId="0" fontId="3" fillId="0" borderId="56" xfId="0" applyFont="1" applyBorder="1" applyAlignment="1">
      <alignment horizontal="center" vertical="center" wrapText="1"/>
    </xf>
    <xf numFmtId="0" fontId="46" fillId="0" borderId="0" xfId="0" applyFont="1" applyAlignment="1">
      <alignment horizontal="left"/>
    </xf>
    <xf numFmtId="0" fontId="2" fillId="0" borderId="0" xfId="0" applyFont="1"/>
    <xf numFmtId="0" fontId="38" fillId="0" borderId="24" xfId="6" applyBorder="1" applyAlignment="1">
      <alignment wrapText="1"/>
    </xf>
    <xf numFmtId="0" fontId="35" fillId="0" borderId="0" xfId="2" applyAlignment="1">
      <alignment horizontal="left" wrapText="1"/>
    </xf>
    <xf numFmtId="0" fontId="0" fillId="0" borderId="0" xfId="0" applyAlignment="1">
      <alignment wrapText="1"/>
    </xf>
    <xf numFmtId="0" fontId="36" fillId="0" borderId="25" xfId="0" applyFont="1" applyBorder="1" applyAlignment="1">
      <alignment horizontal="left" wrapText="1"/>
    </xf>
    <xf numFmtId="0" fontId="36" fillId="0" borderId="26" xfId="0" applyFont="1" applyBorder="1" applyAlignment="1">
      <alignment horizontal="left" wrapText="1"/>
    </xf>
    <xf numFmtId="0" fontId="36" fillId="0" borderId="27" xfId="3" applyFont="1" applyBorder="1" applyAlignment="1">
      <alignment horizontal="right" wrapText="1"/>
    </xf>
    <xf numFmtId="0" fontId="0" fillId="0" borderId="19" xfId="0" applyBorder="1" applyAlignment="1">
      <alignment wrapText="1"/>
    </xf>
    <xf numFmtId="0" fontId="36" fillId="0" borderId="19" xfId="3" applyFont="1" applyBorder="1" applyAlignment="1">
      <alignment horizontal="right" wrapText="1"/>
    </xf>
    <xf numFmtId="0" fontId="0" fillId="0" borderId="25" xfId="0" applyBorder="1" applyAlignment="1">
      <alignment horizontal="left" wrapText="1"/>
    </xf>
    <xf numFmtId="0" fontId="36" fillId="0" borderId="9" xfId="0" applyFont="1" applyBorder="1" applyAlignment="1">
      <alignment horizontal="center" vertical="center" wrapText="1"/>
    </xf>
    <xf numFmtId="0" fontId="38" fillId="0" borderId="0" xfId="6" applyBorder="1" applyAlignment="1">
      <alignment horizontal="left" wrapText="1"/>
    </xf>
    <xf numFmtId="0" fontId="38" fillId="0" borderId="0" xfId="6" applyBorder="1" applyAlignment="1">
      <alignment horizontal="left" vertical="top" wrapText="1"/>
    </xf>
    <xf numFmtId="0" fontId="18" fillId="0" borderId="56" xfId="0" applyFont="1" applyBorder="1" applyAlignment="1">
      <alignment horizontal="center" wrapText="1"/>
    </xf>
    <xf numFmtId="0" fontId="18" fillId="0" borderId="15" xfId="0" applyFont="1" applyBorder="1" applyAlignment="1">
      <alignment horizontal="center" wrapText="1"/>
    </xf>
    <xf numFmtId="0" fontId="18" fillId="0" borderId="12" xfId="0" applyFont="1" applyBorder="1" applyAlignment="1">
      <alignment horizontal="center" wrapText="1"/>
    </xf>
    <xf numFmtId="0" fontId="18" fillId="0" borderId="0" xfId="0" applyFont="1" applyAlignment="1">
      <alignment horizontal="center" vertical="center"/>
    </xf>
    <xf numFmtId="0" fontId="18" fillId="0" borderId="0" xfId="0" applyFont="1" applyAlignment="1">
      <alignment horizontal="left"/>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27" fillId="0" borderId="9" xfId="0" applyFont="1" applyBorder="1" applyAlignment="1">
      <alignment horizontal="center" vertical="center" wrapText="1"/>
    </xf>
    <xf numFmtId="3" fontId="36" fillId="0" borderId="25" xfId="0" applyNumberFormat="1" applyFont="1" applyBorder="1" applyAlignment="1">
      <alignment horizontal="left" wrapText="1"/>
    </xf>
    <xf numFmtId="3" fontId="36" fillId="0" borderId="25" xfId="0" applyNumberFormat="1" applyFont="1" applyBorder="1" applyAlignment="1">
      <alignment horizontal="left"/>
    </xf>
    <xf numFmtId="0" fontId="0" fillId="0" borderId="24" xfId="0" applyBorder="1" applyAlignment="1">
      <alignment wrapText="1"/>
    </xf>
    <xf numFmtId="3" fontId="36" fillId="0" borderId="30" xfId="0" applyNumberFormat="1" applyFont="1" applyBorder="1" applyAlignment="1">
      <alignment horizontal="left" wrapText="1"/>
    </xf>
    <xf numFmtId="0" fontId="53" fillId="0" borderId="70" xfId="0" applyFont="1" applyBorder="1" applyAlignment="1">
      <alignment horizontal="center" vertical="center" wrapText="1"/>
    </xf>
    <xf numFmtId="0" fontId="53" fillId="0" borderId="69" xfId="0" applyFont="1" applyBorder="1" applyAlignment="1">
      <alignment horizontal="center" vertical="center" wrapText="1"/>
    </xf>
    <xf numFmtId="0" fontId="53" fillId="0" borderId="68" xfId="0" applyFont="1" applyBorder="1" applyAlignment="1">
      <alignment horizontal="center" vertical="center" wrapText="1"/>
    </xf>
    <xf numFmtId="0" fontId="60" fillId="13" borderId="66" xfId="0" applyFont="1" applyFill="1" applyBorder="1" applyAlignment="1">
      <alignment horizontal="center" vertical="center" wrapText="1"/>
    </xf>
    <xf numFmtId="0" fontId="60" fillId="12" borderId="0" xfId="0" applyFont="1" applyFill="1" applyBorder="1" applyAlignment="1">
      <alignment horizontal="center" vertical="center" wrapText="1"/>
    </xf>
    <xf numFmtId="0" fontId="60" fillId="12" borderId="67" xfId="0" applyFont="1" applyFill="1" applyBorder="1" applyAlignment="1">
      <alignment horizontal="center" vertical="center" wrapText="1"/>
    </xf>
    <xf numFmtId="0" fontId="60" fillId="12" borderId="10" xfId="0" applyFont="1" applyFill="1" applyBorder="1" applyAlignment="1">
      <alignment horizontal="center" vertical="center" wrapText="1"/>
    </xf>
    <xf numFmtId="0" fontId="60" fillId="12" borderId="11" xfId="0" applyFont="1" applyFill="1" applyBorder="1" applyAlignment="1">
      <alignment horizontal="center" vertical="center" wrapText="1"/>
    </xf>
    <xf numFmtId="0" fontId="60" fillId="14" borderId="10" xfId="0" applyFont="1" applyFill="1" applyBorder="1" applyAlignment="1">
      <alignment horizontal="center" vertical="center" wrapText="1"/>
    </xf>
    <xf numFmtId="0" fontId="60" fillId="14" borderId="11" xfId="0" applyFont="1" applyFill="1" applyBorder="1" applyAlignment="1">
      <alignment horizontal="center" vertical="center" wrapText="1"/>
    </xf>
    <xf numFmtId="0" fontId="60" fillId="14" borderId="12" xfId="0" applyFont="1" applyFill="1" applyBorder="1" applyAlignment="1">
      <alignment horizontal="center" vertical="center" wrapText="1"/>
    </xf>
    <xf numFmtId="0" fontId="60" fillId="12" borderId="13" xfId="0" applyFont="1" applyFill="1" applyBorder="1" applyAlignment="1">
      <alignment horizontal="center" vertical="center" wrapText="1"/>
    </xf>
    <xf numFmtId="0" fontId="60" fillId="12" borderId="14" xfId="0" applyFont="1" applyFill="1" applyBorder="1" applyAlignment="1">
      <alignment horizontal="center" vertical="center" wrapText="1"/>
    </xf>
    <xf numFmtId="0" fontId="60" fillId="14" borderId="13" xfId="0" applyFont="1" applyFill="1" applyBorder="1" applyAlignment="1">
      <alignment horizontal="center" vertical="center" wrapText="1"/>
    </xf>
    <xf numFmtId="0" fontId="60" fillId="14" borderId="14" xfId="0" applyFont="1" applyFill="1" applyBorder="1" applyAlignment="1">
      <alignment horizontal="center" vertical="center" wrapText="1"/>
    </xf>
    <xf numFmtId="0" fontId="60" fillId="14" borderId="15" xfId="0" applyFont="1" applyFill="1" applyBorder="1" applyAlignment="1">
      <alignment horizontal="center" vertical="center" wrapText="1"/>
    </xf>
    <xf numFmtId="0" fontId="60" fillId="0" borderId="61" xfId="0" applyFont="1" applyBorder="1" applyAlignment="1"/>
    <xf numFmtId="0" fontId="60" fillId="0" borderId="60" xfId="0" applyFont="1" applyBorder="1" applyAlignment="1"/>
    <xf numFmtId="0" fontId="93" fillId="0" borderId="129" xfId="0" applyFont="1" applyBorder="1" applyAlignment="1">
      <alignment horizontal="center"/>
    </xf>
  </cellXfs>
  <cellStyles count="65">
    <cellStyle name="20% - Accent1 2" xfId="33" xr:uid="{6B97CEF6-A5F2-4037-8323-1CD2A4786661}"/>
    <cellStyle name="20% - Accent2 2" xfId="37" xr:uid="{0BFACC8A-C3E4-4726-8685-7572FFD5881C}"/>
    <cellStyle name="20% - Accent3 2" xfId="41" xr:uid="{3405DD66-9EB6-4F57-90F8-E89844305113}"/>
    <cellStyle name="20% - Accent4 2" xfId="45" xr:uid="{92941044-AF93-41DD-A6E6-98BC4C3381B0}"/>
    <cellStyle name="20% - Accent5 2" xfId="49" xr:uid="{C7E1A4A5-CD64-49EE-A53A-BED06B6D7D77}"/>
    <cellStyle name="20% - Accent6 2" xfId="53" xr:uid="{CAAF9A02-0C2C-4072-9AAD-C1A54B137EA9}"/>
    <cellStyle name="40% - Accent1 2" xfId="34" xr:uid="{95D76EFD-622E-4BD5-9F50-706ABB61DFB3}"/>
    <cellStyle name="40% - Accent2 2" xfId="38" xr:uid="{2842444D-2FE5-4CFC-B0EF-44630E8FC698}"/>
    <cellStyle name="40% - Accent3 2" xfId="42" xr:uid="{C74B2DB5-311A-4347-B9D9-033F8FC1794A}"/>
    <cellStyle name="40% - Accent4 2" xfId="46" xr:uid="{29204AB1-BCCF-41A5-B9A6-85AEF2CD6ACA}"/>
    <cellStyle name="40% - Accent5 2" xfId="50" xr:uid="{58121472-FF13-4A98-8CB1-B238686A8C6D}"/>
    <cellStyle name="40% - Accent6 2" xfId="54" xr:uid="{B8D938DD-EEF0-4B8C-89D4-E90A7F6BF3C4}"/>
    <cellStyle name="60% - Accent1 2" xfId="35" xr:uid="{A9E6315E-18BD-4420-93D3-D934679DE0F4}"/>
    <cellStyle name="60% - Accent1 3" xfId="58" xr:uid="{6BC1B657-6B42-4D54-B553-2BF8E537869E}"/>
    <cellStyle name="60% - Accent2 2" xfId="39" xr:uid="{4A533AEF-37C5-47E3-863F-2CBFD1969ADD}"/>
    <cellStyle name="60% - Accent2 3" xfId="59" xr:uid="{C28E4A8C-DA63-4564-846F-203A375C5079}"/>
    <cellStyle name="60% - Accent3 2" xfId="43" xr:uid="{7F8CF4AD-C096-4B97-AB1A-86EAFE95191A}"/>
    <cellStyle name="60% - Accent3 3" xfId="60" xr:uid="{12C2FB47-C272-4D1B-87D0-65B72430D875}"/>
    <cellStyle name="60% - Accent4 2" xfId="47" xr:uid="{BBA61D42-723C-46E7-B9E4-C9F5282621D4}"/>
    <cellStyle name="60% - Accent4 3" xfId="61" xr:uid="{7DC7622D-413B-4BAE-8C2C-94BF68C47023}"/>
    <cellStyle name="60% - Accent5 2" xfId="51" xr:uid="{469A357E-60C6-473C-BA52-59CAD50EDD57}"/>
    <cellStyle name="60% - Accent5 3" xfId="62" xr:uid="{5033BA66-0C60-4277-8B6B-44BE58ABAAC1}"/>
    <cellStyle name="60% - Accent6 2" xfId="55" xr:uid="{467D6A88-4361-4150-8250-7523E064CF2B}"/>
    <cellStyle name="60% - Accent6 3" xfId="63" xr:uid="{DCDDF74F-98E7-4061-BBD4-653820B8F321}"/>
    <cellStyle name="Accent1 2" xfId="32" xr:uid="{6D215558-806F-4BE1-9D18-5F396C43B24D}"/>
    <cellStyle name="Accent2 2" xfId="36" xr:uid="{68DC85F6-8755-45DB-BF23-E2BFEE09E1C3}"/>
    <cellStyle name="Accent3 2" xfId="40" xr:uid="{33C8C568-9052-4047-BCE2-3393302E0AF9}"/>
    <cellStyle name="Accent4 2" xfId="44" xr:uid="{184CB16F-06B8-4A31-87F0-F444B8E3C112}"/>
    <cellStyle name="Accent5 2" xfId="48" xr:uid="{B3939155-0F92-49BB-9F81-193864A18828}"/>
    <cellStyle name="Accent6 2" xfId="52" xr:uid="{C72640A5-C2F3-47FE-BD45-053898A6D306}"/>
    <cellStyle name="Bad 2" xfId="22" xr:uid="{A8B3134C-9621-447F-AF1A-A6875012A21C}"/>
    <cellStyle name="Body: normal cell" xfId="4" xr:uid="{5500C797-1D95-48B3-A796-3493084BCF50}"/>
    <cellStyle name="Calculation 2" xfId="26" xr:uid="{3FB152DA-87AF-40A0-83B2-B16574665508}"/>
    <cellStyle name="Check Cell 2" xfId="28" xr:uid="{7AC3AF56-D92F-464C-80D0-D566B32C4FC9}"/>
    <cellStyle name="Explanatory Text 2" xfId="30" xr:uid="{AE0C8476-818F-49BA-9CC4-9DFFC38AC9CE}"/>
    <cellStyle name="Footnotes: top row" xfId="6" xr:uid="{9DC136B7-7849-4EA7-8535-DF00A8542531}"/>
    <cellStyle name="Good 2" xfId="21" xr:uid="{2FFDA79B-EB43-4E56-9B72-327098854945}"/>
    <cellStyle name="Header: bottom row" xfId="3" xr:uid="{BC5D573B-B61E-47A3-9276-0C04679B84ED}"/>
    <cellStyle name="Heading 1 2" xfId="17" xr:uid="{1BF28729-1379-4022-B0D4-2A835AEEFBA0}"/>
    <cellStyle name="Heading 2 2" xfId="18" xr:uid="{40FC3F84-D9E1-47BF-B324-C60C83A2993D}"/>
    <cellStyle name="Heading 3 2" xfId="19" xr:uid="{86C982F8-5518-4E1D-9A2D-831CD82E1C04}"/>
    <cellStyle name="Heading 4 2" xfId="20" xr:uid="{74ACE4B4-4D57-40AA-90CD-9E389693D8BB}"/>
    <cellStyle name="Hyperlink" xfId="1" builtinId="8"/>
    <cellStyle name="Input 2" xfId="24" xr:uid="{83A62596-AEEB-4FC2-9009-073480433BA5}"/>
    <cellStyle name="Linked Cell 2" xfId="27" xr:uid="{C857D2AE-0C31-4E33-A119-847D18AB9C30}"/>
    <cellStyle name="Neutral 2" xfId="23" xr:uid="{CBFAAF8A-7C1F-4557-B499-712139473A8E}"/>
    <cellStyle name="Neutral 3" xfId="57" xr:uid="{A048DA92-F430-4B9C-8390-B44C68DD465F}"/>
    <cellStyle name="Normal" xfId="0" builtinId="0"/>
    <cellStyle name="Normal 2" xfId="10" xr:uid="{00000000-0005-0000-0000-000038000000}"/>
    <cellStyle name="Normal 2 2" xfId="64" xr:uid="{70648B24-7C5A-4CBF-BBED-AACB5455A68F}"/>
    <cellStyle name="Normal 3" xfId="13" xr:uid="{05FED0F6-EE92-4FDF-9B60-C7D8A0ED9573}"/>
    <cellStyle name="Normal 4" xfId="16" xr:uid="{9145FBA7-D002-4D00-8E76-B2FB3CFD533F}"/>
    <cellStyle name="Note" xfId="15" builtinId="10" customBuiltin="1"/>
    <cellStyle name="Output 2" xfId="25" xr:uid="{D8BFCC5A-35E8-442A-8894-58B73B617BEF}"/>
    <cellStyle name="Parent row" xfId="5" xr:uid="{A20A87DF-A9C8-4440-9A99-64C9AD1E5524}"/>
    <cellStyle name="Percent" xfId="8" builtinId="5"/>
    <cellStyle name="Percent 2" xfId="11" xr:uid="{00000000-0005-0000-0000-000039000000}"/>
    <cellStyle name="Seattle1" xfId="7" xr:uid="{0B0CF2AC-3D92-4DEF-B681-4DA872C2387B}"/>
    <cellStyle name="Seattle3" xfId="9" xr:uid="{5C39E05E-B517-41AC-8AA1-FE825B93B769}"/>
    <cellStyle name="Table Font" xfId="12" xr:uid="{00000000-0005-0000-0000-000004000000}"/>
    <cellStyle name="Table title" xfId="2" xr:uid="{EBA44D68-0964-493E-B482-874359DFE1A6}"/>
    <cellStyle name="Title" xfId="14" builtinId="15" customBuiltin="1"/>
    <cellStyle name="Title 2" xfId="56" xr:uid="{FB7C08E5-B2C2-4940-823E-BA835BEF761B}"/>
    <cellStyle name="Total 2" xfId="31" xr:uid="{84595CE9-835D-4721-B840-C9838C9C177A}"/>
    <cellStyle name="Warning Text 2" xfId="29" xr:uid="{9E0F9654-AD84-419D-BBA5-7B7212FEAD72}"/>
  </cellStyles>
  <dxfs count="5">
    <dxf>
      <font>
        <b/>
        <i val="0"/>
        <color auto="1"/>
      </font>
      <fill>
        <patternFill>
          <bgColor theme="9"/>
        </patternFill>
      </fill>
    </dxf>
    <dxf>
      <font>
        <b/>
        <i val="0"/>
        <color auto="1"/>
      </font>
      <fill>
        <patternFill>
          <bgColor theme="9"/>
        </patternFill>
      </fill>
    </dxf>
    <dxf>
      <font>
        <b/>
        <i val="0"/>
        <color auto="1"/>
      </font>
      <fill>
        <patternFill>
          <bgColor theme="9"/>
        </patternFill>
      </fill>
    </dxf>
    <dxf>
      <font>
        <b/>
        <i val="0"/>
        <color auto="1"/>
      </font>
      <fill>
        <patternFill>
          <bgColor theme="9"/>
        </patternFill>
      </fill>
    </dxf>
    <dxf>
      <font>
        <b/>
        <i val="0"/>
        <color auto="1"/>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92746886777954"/>
          <c:y val="5.3041934649384941E-2"/>
          <c:w val="0.83817349168016753"/>
          <c:h val="0.61578048758730808"/>
        </c:manualLayout>
      </c:layout>
      <c:barChart>
        <c:barDir val="col"/>
        <c:grouping val="stacked"/>
        <c:varyColors val="0"/>
        <c:ser>
          <c:idx val="3"/>
          <c:order val="0"/>
          <c:tx>
            <c:strRef>
              <c:f>'MF-Old-Tall'!$N$46</c:f>
              <c:strCache>
                <c:ptCount val="1"/>
                <c:pt idx="0">
                  <c:v>Heating</c:v>
                </c:pt>
              </c:strCache>
            </c:strRef>
          </c:tx>
          <c:spPr>
            <a:solidFill>
              <a:srgbClr val="C00000"/>
            </a:solidFill>
            <a:ln>
              <a:noFill/>
            </a:ln>
            <a:effectLst/>
          </c:spPr>
          <c:invertIfNegative val="0"/>
          <c:cat>
            <c:multiLvlStrRef>
              <c:f>'MF-Old-Tall'!$O$43:$S$45</c:f>
              <c:multiLvlStrCache>
                <c:ptCount val="5"/>
                <c:lvl>
                  <c:pt idx="0">
                    <c:v>Today</c:v>
                  </c:pt>
                  <c:pt idx="1">
                    <c:v>2030</c:v>
                  </c:pt>
                  <c:pt idx="2">
                    <c:v>2040</c:v>
                  </c:pt>
                  <c:pt idx="3">
                    <c:v>1</c:v>
                  </c:pt>
                  <c:pt idx="4">
                    <c:v>2</c:v>
                  </c:pt>
                </c:lvl>
                <c:lvl>
                  <c:pt idx="1">
                    <c:v>Interim</c:v>
                  </c:pt>
                  <c:pt idx="3">
                    <c:v>2050 Targets</c:v>
                  </c:pt>
                </c:lvl>
              </c:multiLvlStrCache>
            </c:multiLvlStrRef>
          </c:cat>
          <c:val>
            <c:numRef>
              <c:f>'MF-Old-Tall'!$O$46:$S$46</c:f>
              <c:numCache>
                <c:formatCode>General</c:formatCode>
                <c:ptCount val="5"/>
                <c:pt idx="0" formatCode="#,##0">
                  <c:v>15</c:v>
                </c:pt>
                <c:pt idx="3" formatCode="#,##0">
                  <c:v>0</c:v>
                </c:pt>
                <c:pt idx="4" formatCode="#,##0">
                  <c:v>0</c:v>
                </c:pt>
              </c:numCache>
            </c:numRef>
          </c:val>
          <c:extLst>
            <c:ext xmlns:c16="http://schemas.microsoft.com/office/drawing/2014/chart" uri="{C3380CC4-5D6E-409C-BE32-E72D297353CC}">
              <c16:uniqueId val="{00000003-4926-4A33-A670-80A53F17CEA2}"/>
            </c:ext>
          </c:extLst>
        </c:ser>
        <c:ser>
          <c:idx val="4"/>
          <c:order val="1"/>
          <c:tx>
            <c:strRef>
              <c:f>'MF-Old-Tall'!$N$47</c:f>
              <c:strCache>
                <c:ptCount val="1"/>
                <c:pt idx="0">
                  <c:v>DHW</c:v>
                </c:pt>
              </c:strCache>
            </c:strRef>
          </c:tx>
          <c:spPr>
            <a:solidFill>
              <a:srgbClr val="00B050"/>
            </a:solidFill>
            <a:ln>
              <a:noFill/>
            </a:ln>
            <a:effectLst/>
          </c:spPr>
          <c:invertIfNegative val="0"/>
          <c:cat>
            <c:multiLvlStrRef>
              <c:f>'MF-Old-Tall'!$O$43:$S$45</c:f>
              <c:multiLvlStrCache>
                <c:ptCount val="5"/>
                <c:lvl>
                  <c:pt idx="0">
                    <c:v>Today</c:v>
                  </c:pt>
                  <c:pt idx="1">
                    <c:v>2030</c:v>
                  </c:pt>
                  <c:pt idx="2">
                    <c:v>2040</c:v>
                  </c:pt>
                  <c:pt idx="3">
                    <c:v>1</c:v>
                  </c:pt>
                  <c:pt idx="4">
                    <c:v>2</c:v>
                  </c:pt>
                </c:lvl>
                <c:lvl>
                  <c:pt idx="1">
                    <c:v>Interim</c:v>
                  </c:pt>
                  <c:pt idx="3">
                    <c:v>2050 Targets</c:v>
                  </c:pt>
                </c:lvl>
              </c:multiLvlStrCache>
            </c:multiLvlStrRef>
          </c:cat>
          <c:val>
            <c:numRef>
              <c:f>'MF-Old-Tall'!$O$47:$S$47</c:f>
              <c:numCache>
                <c:formatCode>General</c:formatCode>
                <c:ptCount val="5"/>
                <c:pt idx="0" formatCode="#,##0">
                  <c:v>17.767052094085397</c:v>
                </c:pt>
                <c:pt idx="3" formatCode="#,##0">
                  <c:v>5.8146715944279483</c:v>
                </c:pt>
                <c:pt idx="4" formatCode="#,##0">
                  <c:v>5.8146715944279483</c:v>
                </c:pt>
              </c:numCache>
            </c:numRef>
          </c:val>
          <c:extLst>
            <c:ext xmlns:c16="http://schemas.microsoft.com/office/drawing/2014/chart" uri="{C3380CC4-5D6E-409C-BE32-E72D297353CC}">
              <c16:uniqueId val="{00000004-4926-4A33-A670-80A53F17CEA2}"/>
            </c:ext>
          </c:extLst>
        </c:ser>
        <c:ser>
          <c:idx val="5"/>
          <c:order val="2"/>
          <c:tx>
            <c:strRef>
              <c:f>'MF-Old-Tall'!$N$48</c:f>
              <c:strCache>
                <c:ptCount val="1"/>
                <c:pt idx="0">
                  <c:v>Cooling</c:v>
                </c:pt>
              </c:strCache>
            </c:strRef>
          </c:tx>
          <c:spPr>
            <a:solidFill>
              <a:srgbClr val="00B0F0"/>
            </a:solidFill>
            <a:ln>
              <a:noFill/>
            </a:ln>
            <a:effectLst/>
          </c:spPr>
          <c:invertIfNegative val="0"/>
          <c:cat>
            <c:multiLvlStrRef>
              <c:f>'MF-Old-Tall'!$O$43:$S$45</c:f>
              <c:multiLvlStrCache>
                <c:ptCount val="5"/>
                <c:lvl>
                  <c:pt idx="0">
                    <c:v>Today</c:v>
                  </c:pt>
                  <c:pt idx="1">
                    <c:v>2030</c:v>
                  </c:pt>
                  <c:pt idx="2">
                    <c:v>2040</c:v>
                  </c:pt>
                  <c:pt idx="3">
                    <c:v>1</c:v>
                  </c:pt>
                  <c:pt idx="4">
                    <c:v>2</c:v>
                  </c:pt>
                </c:lvl>
                <c:lvl>
                  <c:pt idx="1">
                    <c:v>Interim</c:v>
                  </c:pt>
                  <c:pt idx="3">
                    <c:v>2050 Targets</c:v>
                  </c:pt>
                </c:lvl>
              </c:multiLvlStrCache>
            </c:multiLvlStrRef>
          </c:cat>
          <c:val>
            <c:numRef>
              <c:f>'MF-Old-Tall'!$O$48:$S$48</c:f>
              <c:numCache>
                <c:formatCode>General</c:formatCode>
                <c:ptCount val="5"/>
                <c:pt idx="0" formatCode="#,##0">
                  <c:v>3</c:v>
                </c:pt>
                <c:pt idx="3" formatCode="#,##0">
                  <c:v>2.5253968253968253</c:v>
                </c:pt>
                <c:pt idx="4" formatCode="#,##0">
                  <c:v>0</c:v>
                </c:pt>
              </c:numCache>
            </c:numRef>
          </c:val>
          <c:extLst>
            <c:ext xmlns:c16="http://schemas.microsoft.com/office/drawing/2014/chart" uri="{C3380CC4-5D6E-409C-BE32-E72D297353CC}">
              <c16:uniqueId val="{00000005-4926-4A33-A670-80A53F17CEA2}"/>
            </c:ext>
          </c:extLst>
        </c:ser>
        <c:ser>
          <c:idx val="6"/>
          <c:order val="3"/>
          <c:tx>
            <c:strRef>
              <c:f>'MF-Old-Tall'!$N$49</c:f>
              <c:strCache>
                <c:ptCount val="1"/>
                <c:pt idx="0">
                  <c:v>Other Electricity</c:v>
                </c:pt>
              </c:strCache>
            </c:strRef>
          </c:tx>
          <c:spPr>
            <a:solidFill>
              <a:srgbClr val="FFC000"/>
            </a:solidFill>
            <a:ln>
              <a:noFill/>
            </a:ln>
            <a:effectLst/>
          </c:spPr>
          <c:invertIfNegative val="0"/>
          <c:cat>
            <c:multiLvlStrRef>
              <c:f>'MF-Old-Tall'!$O$43:$S$45</c:f>
              <c:multiLvlStrCache>
                <c:ptCount val="5"/>
                <c:lvl>
                  <c:pt idx="0">
                    <c:v>Today</c:v>
                  </c:pt>
                  <c:pt idx="1">
                    <c:v>2030</c:v>
                  </c:pt>
                  <c:pt idx="2">
                    <c:v>2040</c:v>
                  </c:pt>
                  <c:pt idx="3">
                    <c:v>1</c:v>
                  </c:pt>
                  <c:pt idx="4">
                    <c:v>2</c:v>
                  </c:pt>
                </c:lvl>
                <c:lvl>
                  <c:pt idx="1">
                    <c:v>Interim</c:v>
                  </c:pt>
                  <c:pt idx="3">
                    <c:v>2050 Targets</c:v>
                  </c:pt>
                </c:lvl>
              </c:multiLvlStrCache>
            </c:multiLvlStrRef>
          </c:cat>
          <c:val>
            <c:numRef>
              <c:f>'MF-Old-Tall'!$O$49:$S$49</c:f>
              <c:numCache>
                <c:formatCode>General</c:formatCode>
                <c:ptCount val="5"/>
                <c:pt idx="0" formatCode="#,##0">
                  <c:v>12</c:v>
                </c:pt>
                <c:pt idx="3" formatCode="#,##0">
                  <c:v>8.3019841269841272</c:v>
                </c:pt>
                <c:pt idx="4" formatCode="#,##0">
                  <c:v>8.238492063492064</c:v>
                </c:pt>
              </c:numCache>
            </c:numRef>
          </c:val>
          <c:extLst>
            <c:ext xmlns:c16="http://schemas.microsoft.com/office/drawing/2014/chart" uri="{C3380CC4-5D6E-409C-BE32-E72D297353CC}">
              <c16:uniqueId val="{00000006-4926-4A33-A670-80A53F17CEA2}"/>
            </c:ext>
          </c:extLst>
        </c:ser>
        <c:ser>
          <c:idx val="7"/>
          <c:order val="4"/>
          <c:tx>
            <c:strRef>
              <c:f>'MF-Old-Tall'!$N$50</c:f>
              <c:strCache>
                <c:ptCount val="1"/>
                <c:pt idx="0">
                  <c:v>Other Fuel</c:v>
                </c:pt>
              </c:strCache>
            </c:strRef>
          </c:tx>
          <c:spPr>
            <a:solidFill>
              <a:srgbClr val="FFFF00"/>
            </a:solidFill>
            <a:ln>
              <a:noFill/>
            </a:ln>
            <a:effectLst/>
          </c:spPr>
          <c:invertIfNegative val="0"/>
          <c:cat>
            <c:multiLvlStrRef>
              <c:f>'MF-Old-Tall'!$O$43:$S$45</c:f>
              <c:multiLvlStrCache>
                <c:ptCount val="5"/>
                <c:lvl>
                  <c:pt idx="0">
                    <c:v>Today</c:v>
                  </c:pt>
                  <c:pt idx="1">
                    <c:v>2030</c:v>
                  </c:pt>
                  <c:pt idx="2">
                    <c:v>2040</c:v>
                  </c:pt>
                  <c:pt idx="3">
                    <c:v>1</c:v>
                  </c:pt>
                  <c:pt idx="4">
                    <c:v>2</c:v>
                  </c:pt>
                </c:lvl>
                <c:lvl>
                  <c:pt idx="1">
                    <c:v>Interim</c:v>
                  </c:pt>
                  <c:pt idx="3">
                    <c:v>2050 Targets</c:v>
                  </c:pt>
                </c:lvl>
              </c:multiLvlStrCache>
            </c:multiLvlStrRef>
          </c:cat>
          <c:val>
            <c:numRef>
              <c:f>'MF-Old-Tall'!$O$50:$S$50</c:f>
              <c:numCache>
                <c:formatCode>General</c:formatCode>
                <c:ptCount val="5"/>
                <c:pt idx="0" formatCode="#,##0">
                  <c:v>2.3855910242193104</c:v>
                </c:pt>
                <c:pt idx="3" formatCode="#,##0">
                  <c:v>1.4533062836014536</c:v>
                </c:pt>
                <c:pt idx="4" formatCode="#,##0">
                  <c:v>1.4533062836014536</c:v>
                </c:pt>
              </c:numCache>
            </c:numRef>
          </c:val>
          <c:extLst>
            <c:ext xmlns:c16="http://schemas.microsoft.com/office/drawing/2014/chart" uri="{C3380CC4-5D6E-409C-BE32-E72D297353CC}">
              <c16:uniqueId val="{00000007-4926-4A33-A670-80A53F17CEA2}"/>
            </c:ext>
          </c:extLst>
        </c:ser>
        <c:dLbls>
          <c:showLegendKey val="0"/>
          <c:showVal val="0"/>
          <c:showCatName val="0"/>
          <c:showSerName val="0"/>
          <c:showPercent val="0"/>
          <c:showBubbleSize val="0"/>
        </c:dLbls>
        <c:gapWidth val="150"/>
        <c:overlap val="100"/>
        <c:axId val="555300032"/>
        <c:axId val="555300688"/>
      </c:barChart>
      <c:catAx>
        <c:axId val="55530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5300688"/>
        <c:crosses val="autoZero"/>
        <c:auto val="1"/>
        <c:lblAlgn val="ctr"/>
        <c:lblOffset val="100"/>
        <c:noMultiLvlLbl val="0"/>
      </c:catAx>
      <c:valAx>
        <c:axId val="555300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b" anchorCtr="0"/>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Site EUI</a:t>
                </a:r>
              </a:p>
            </c:rich>
          </c:tx>
          <c:layout>
            <c:manualLayout>
              <c:xMode val="edge"/>
              <c:yMode val="edge"/>
              <c:x val="0"/>
              <c:y val="0.6944424324059123"/>
            </c:manualLayout>
          </c:layout>
          <c:overlay val="0"/>
          <c:spPr>
            <a:noFill/>
            <a:ln>
              <a:noFill/>
            </a:ln>
            <a:effectLst/>
          </c:spPr>
          <c:txPr>
            <a:bodyPr rot="0" spcFirstLastPara="1" vertOverflow="ellipsis" wrap="square" anchor="b" anchorCtr="0"/>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55300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'Hotel-Dorm-Lodging'!$J$54</c:f>
              <c:strCache>
                <c:ptCount val="1"/>
                <c:pt idx="0">
                  <c:v>DC</c:v>
                </c:pt>
              </c:strCache>
            </c:strRef>
          </c:tx>
          <c:spPr>
            <a:solidFill>
              <a:schemeClr val="accent1">
                <a:alpha val="75000"/>
              </a:schemeClr>
            </a:solidFill>
            <a:ln w="25400">
              <a:noFill/>
            </a:ln>
            <a:effectLst/>
          </c:spPr>
          <c:invertIfNegative val="0"/>
          <c:xVal>
            <c:numRef>
              <c:f>'Hotel-Dorm-Lodging'!$I$55:$I$65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'Hotel-Dorm-Lodging'!$M$55:$M$65</c:f>
              <c:numCache>
                <c:formatCode>#,##0</c:formatCode>
                <c:ptCount val="11"/>
                <c:pt idx="0">
                  <c:v>107.83333333333333</c:v>
                </c:pt>
                <c:pt idx="1">
                  <c:v>109.13636363636364</c:v>
                </c:pt>
                <c:pt idx="2">
                  <c:v>55.4</c:v>
                </c:pt>
                <c:pt idx="3">
                  <c:v>77.337499999999991</c:v>
                </c:pt>
                <c:pt idx="4">
                  <c:v>93.149999999999991</c:v>
                </c:pt>
                <c:pt idx="5">
                  <c:v>76.316666666666649</c:v>
                </c:pt>
                <c:pt idx="6">
                  <c:v>81.259999999999991</c:v>
                </c:pt>
                <c:pt idx="7">
                  <c:v>95.443749999999994</c:v>
                </c:pt>
                <c:pt idx="8">
                  <c:v>93.350000000000009</c:v>
                </c:pt>
                <c:pt idx="9">
                  <c:v>94.081481481481475</c:v>
                </c:pt>
                <c:pt idx="10">
                  <c:v>61.533333333333331</c:v>
                </c:pt>
              </c:numCache>
            </c:numRef>
          </c:yVal>
          <c:bubbleSize>
            <c:numRef>
              <c:f>'Hotel-Dorm-Lodging'!$J$55:$J$65</c:f>
              <c:numCache>
                <c:formatCode>#,##0</c:formatCode>
                <c:ptCount val="11"/>
                <c:pt idx="0">
                  <c:v>3</c:v>
                </c:pt>
                <c:pt idx="1">
                  <c:v>11</c:v>
                </c:pt>
                <c:pt idx="2">
                  <c:v>2</c:v>
                </c:pt>
                <c:pt idx="3">
                  <c:v>8</c:v>
                </c:pt>
                <c:pt idx="4">
                  <c:v>6</c:v>
                </c:pt>
                <c:pt idx="5">
                  <c:v>12</c:v>
                </c:pt>
                <c:pt idx="6">
                  <c:v>5</c:v>
                </c:pt>
                <c:pt idx="7">
                  <c:v>16</c:v>
                </c:pt>
                <c:pt idx="8">
                  <c:v>14</c:v>
                </c:pt>
                <c:pt idx="9">
                  <c:v>27</c:v>
                </c:pt>
                <c:pt idx="10">
                  <c:v>15</c:v>
                </c:pt>
              </c:numCache>
            </c:numRef>
          </c:bubbleSize>
          <c:bubble3D val="0"/>
          <c:extLst>
            <c:ext xmlns:c16="http://schemas.microsoft.com/office/drawing/2014/chart" uri="{C3380CC4-5D6E-409C-BE32-E72D297353CC}">
              <c16:uniqueId val="{00000000-6676-4CA5-9F23-56E94FC547ED}"/>
            </c:ext>
          </c:extLst>
        </c:ser>
        <c:ser>
          <c:idx val="1"/>
          <c:order val="1"/>
          <c:tx>
            <c:strRef>
              <c:f>'Hotel-Dorm-Lodging'!$K$54</c:f>
              <c:strCache>
                <c:ptCount val="1"/>
                <c:pt idx="0">
                  <c:v>NYC</c:v>
                </c:pt>
              </c:strCache>
            </c:strRef>
          </c:tx>
          <c:spPr>
            <a:solidFill>
              <a:schemeClr val="accent2">
                <a:alpha val="75000"/>
              </a:schemeClr>
            </a:solidFill>
            <a:ln w="25400">
              <a:noFill/>
            </a:ln>
            <a:effectLst/>
          </c:spPr>
          <c:invertIfNegative val="0"/>
          <c:xVal>
            <c:numRef>
              <c:f>'Hotel-Dorm-Lodging'!$I$55:$I$65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'Hotel-Dorm-Lodging'!$N$55:$N$65</c:f>
              <c:numCache>
                <c:formatCode>#,##0</c:formatCode>
                <c:ptCount val="11"/>
                <c:pt idx="0">
                  <c:v>116.94242424242424</c:v>
                </c:pt>
                <c:pt idx="1">
                  <c:v>102.37162162162161</c:v>
                </c:pt>
                <c:pt idx="2">
                  <c:v>111.58076923076925</c:v>
                </c:pt>
                <c:pt idx="3">
                  <c:v>117.66000000000001</c:v>
                </c:pt>
                <c:pt idx="4">
                  <c:v>120.76111111111112</c:v>
                </c:pt>
                <c:pt idx="5">
                  <c:v>117.23124999999997</c:v>
                </c:pt>
                <c:pt idx="6">
                  <c:v>132.51475409836067</c:v>
                </c:pt>
                <c:pt idx="7">
                  <c:v>104.12790697674421</c:v>
                </c:pt>
                <c:pt idx="8">
                  <c:v>125.47358490566039</c:v>
                </c:pt>
                <c:pt idx="9">
                  <c:v>117.82280701754384</c:v>
                </c:pt>
                <c:pt idx="10">
                  <c:v>96.623913043478282</c:v>
                </c:pt>
              </c:numCache>
            </c:numRef>
          </c:yVal>
          <c:bubbleSize>
            <c:numRef>
              <c:f>'Hotel-Dorm-Lodging'!$K$55:$K$65</c:f>
              <c:numCache>
                <c:formatCode>#,##0</c:formatCode>
                <c:ptCount val="11"/>
                <c:pt idx="0">
                  <c:v>33</c:v>
                </c:pt>
                <c:pt idx="1">
                  <c:v>74</c:v>
                </c:pt>
                <c:pt idx="2">
                  <c:v>26</c:v>
                </c:pt>
                <c:pt idx="3">
                  <c:v>5</c:v>
                </c:pt>
                <c:pt idx="4">
                  <c:v>18</c:v>
                </c:pt>
                <c:pt idx="5">
                  <c:v>48</c:v>
                </c:pt>
                <c:pt idx="6">
                  <c:v>61</c:v>
                </c:pt>
                <c:pt idx="7">
                  <c:v>43</c:v>
                </c:pt>
                <c:pt idx="8">
                  <c:v>53</c:v>
                </c:pt>
                <c:pt idx="9">
                  <c:v>57</c:v>
                </c:pt>
                <c:pt idx="10">
                  <c:v>46</c:v>
                </c:pt>
              </c:numCache>
            </c:numRef>
          </c:bubbleSize>
          <c:bubble3D val="0"/>
          <c:extLst>
            <c:ext xmlns:c16="http://schemas.microsoft.com/office/drawing/2014/chart" uri="{C3380CC4-5D6E-409C-BE32-E72D297353CC}">
              <c16:uniqueId val="{00000001-6676-4CA5-9F23-56E94FC547ED}"/>
            </c:ext>
          </c:extLst>
        </c:ser>
        <c:ser>
          <c:idx val="2"/>
          <c:order val="2"/>
          <c:tx>
            <c:strRef>
              <c:f>'Hotel-Dorm-Lodging'!$L$54</c:f>
              <c:strCache>
                <c:ptCount val="1"/>
                <c:pt idx="0">
                  <c:v>Seattle</c:v>
                </c:pt>
              </c:strCache>
            </c:strRef>
          </c:tx>
          <c:spPr>
            <a:solidFill>
              <a:schemeClr val="accent3">
                <a:alpha val="75000"/>
              </a:schemeClr>
            </a:solidFill>
            <a:ln w="25400">
              <a:noFill/>
            </a:ln>
            <a:effectLst/>
          </c:spPr>
          <c:invertIfNegative val="0"/>
          <c:xVal>
            <c:numRef>
              <c:f>'Hotel-Dorm-Lodging'!$I$55:$I$65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'Hotel-Dorm-Lodging'!$O$55:$O$65</c:f>
              <c:numCache>
                <c:formatCode>#,##0</c:formatCode>
                <c:ptCount val="11"/>
                <c:pt idx="0">
                  <c:v>64.11428560529437</c:v>
                </c:pt>
                <c:pt idx="1">
                  <c:v>86.51666588253444</c:v>
                </c:pt>
                <c:pt idx="2">
                  <c:v>77.180000305175753</c:v>
                </c:pt>
                <c:pt idx="3">
                  <c:v>69.099998474121094</c:v>
                </c:pt>
                <c:pt idx="4">
                  <c:v>84.212499618530273</c:v>
                </c:pt>
                <c:pt idx="5">
                  <c:v>106.59473599885638</c:v>
                </c:pt>
                <c:pt idx="6">
                  <c:v>91.800000871930834</c:v>
                </c:pt>
                <c:pt idx="7">
                  <c:v>87.300001437847442</c:v>
                </c:pt>
                <c:pt idx="8">
                  <c:v>76.213042715321421</c:v>
                </c:pt>
                <c:pt idx="9">
                  <c:v>69.696296338681819</c:v>
                </c:pt>
                <c:pt idx="10">
                  <c:v>52.294444190131287</c:v>
                </c:pt>
              </c:numCache>
            </c:numRef>
          </c:yVal>
          <c:bubbleSize>
            <c:numRef>
              <c:f>'Hotel-Dorm-Lodging'!$L$55:$L$65</c:f>
              <c:numCache>
                <c:formatCode>#,##0</c:formatCode>
                <c:ptCount val="11"/>
                <c:pt idx="0">
                  <c:v>7</c:v>
                </c:pt>
                <c:pt idx="1">
                  <c:v>18</c:v>
                </c:pt>
                <c:pt idx="2">
                  <c:v>5</c:v>
                </c:pt>
                <c:pt idx="3">
                  <c:v>1</c:v>
                </c:pt>
                <c:pt idx="4">
                  <c:v>8</c:v>
                </c:pt>
                <c:pt idx="5">
                  <c:v>19</c:v>
                </c:pt>
                <c:pt idx="6">
                  <c:v>7</c:v>
                </c:pt>
                <c:pt idx="7">
                  <c:v>13</c:v>
                </c:pt>
                <c:pt idx="8">
                  <c:v>23</c:v>
                </c:pt>
                <c:pt idx="9">
                  <c:v>27</c:v>
                </c:pt>
                <c:pt idx="10">
                  <c:v>18</c:v>
                </c:pt>
              </c:numCache>
            </c:numRef>
          </c:bubbleSize>
          <c:bubble3D val="0"/>
          <c:extLst>
            <c:ext xmlns:c16="http://schemas.microsoft.com/office/drawing/2014/chart" uri="{C3380CC4-5D6E-409C-BE32-E72D297353CC}">
              <c16:uniqueId val="{00000002-6676-4CA5-9F23-56E94FC547ED}"/>
            </c:ext>
          </c:extLst>
        </c:ser>
        <c:dLbls>
          <c:showLegendKey val="0"/>
          <c:showVal val="0"/>
          <c:showCatName val="0"/>
          <c:showSerName val="0"/>
          <c:showPercent val="0"/>
          <c:showBubbleSize val="0"/>
        </c:dLbls>
        <c:bubbleScale val="100"/>
        <c:showNegBubbles val="0"/>
        <c:axId val="526688288"/>
        <c:axId val="526685008"/>
      </c:bubbleChart>
      <c:valAx>
        <c:axId val="526688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685008"/>
        <c:crosses val="autoZero"/>
        <c:crossBetween val="midCat"/>
      </c:valAx>
      <c:valAx>
        <c:axId val="52668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Site EUI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6882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'Hotel-Dorm-Lodging'!$S$65</c:f>
              <c:strCache>
                <c:ptCount val="1"/>
                <c:pt idx="0">
                  <c:v>Elec EUI</c:v>
                </c:pt>
              </c:strCache>
            </c:strRef>
          </c:tx>
          <c:spPr>
            <a:solidFill>
              <a:schemeClr val="accent1"/>
            </a:solidFill>
            <a:ln>
              <a:noFill/>
            </a:ln>
            <a:effectLst/>
          </c:spPr>
          <c:invertIfNegative val="0"/>
          <c:cat>
            <c:multiLvlStrRef>
              <c:f>'Hotel-Dorm-Lodging'!$Q$66:$R$74</c:f>
              <c:multiLvlStrCache>
                <c:ptCount val="9"/>
                <c:lvl>
                  <c:pt idx="0">
                    <c:v>DC</c:v>
                  </c:pt>
                  <c:pt idx="1">
                    <c:v>NYC</c:v>
                  </c:pt>
                  <c:pt idx="2">
                    <c:v>Seattle</c:v>
                  </c:pt>
                  <c:pt idx="3">
                    <c:v>DC</c:v>
                  </c:pt>
                  <c:pt idx="4">
                    <c:v>NYC</c:v>
                  </c:pt>
                  <c:pt idx="5">
                    <c:v>Seattle</c:v>
                  </c:pt>
                  <c:pt idx="6">
                    <c:v>DC</c:v>
                  </c:pt>
                  <c:pt idx="7">
                    <c:v>NYC</c:v>
                  </c:pt>
                  <c:pt idx="8">
                    <c:v>Seattle</c:v>
                  </c:pt>
                </c:lvl>
                <c:lvl>
                  <c:pt idx="0">
                    <c:v>Elec</c:v>
                  </c:pt>
                  <c:pt idx="3">
                    <c:v>Mix</c:v>
                  </c:pt>
                  <c:pt idx="6">
                    <c:v>Fuel</c:v>
                  </c:pt>
                </c:lvl>
              </c:multiLvlStrCache>
            </c:multiLvlStrRef>
          </c:cat>
          <c:val>
            <c:numRef>
              <c:f>'Hotel-Dorm-Lodging'!$S$66:$S$74</c:f>
              <c:numCache>
                <c:formatCode>#,##0</c:formatCode>
                <c:ptCount val="9"/>
                <c:pt idx="0">
                  <c:v>42.654079797981474</c:v>
                </c:pt>
                <c:pt idx="1">
                  <c:v>49.164588583201173</c:v>
                </c:pt>
                <c:pt idx="2">
                  <c:v>41.140478331737185</c:v>
                </c:pt>
                <c:pt idx="3">
                  <c:v>57.51457420332698</c:v>
                </c:pt>
                <c:pt idx="4">
                  <c:v>55.392682210105079</c:v>
                </c:pt>
                <c:pt idx="5">
                  <c:v>37.11295838528703</c:v>
                </c:pt>
                <c:pt idx="6">
                  <c:v>33.767493261532159</c:v>
                </c:pt>
                <c:pt idx="7">
                  <c:v>35.009696682333001</c:v>
                </c:pt>
                <c:pt idx="8">
                  <c:v>31.61361876524148</c:v>
                </c:pt>
              </c:numCache>
            </c:numRef>
          </c:val>
          <c:extLst>
            <c:ext xmlns:c16="http://schemas.microsoft.com/office/drawing/2014/chart" uri="{C3380CC4-5D6E-409C-BE32-E72D297353CC}">
              <c16:uniqueId val="{00000000-C981-4D7C-A9E0-A2C04A4D6126}"/>
            </c:ext>
          </c:extLst>
        </c:ser>
        <c:ser>
          <c:idx val="1"/>
          <c:order val="1"/>
          <c:tx>
            <c:strRef>
              <c:f>'Hotel-Dorm-Lodging'!$T$65</c:f>
              <c:strCache>
                <c:ptCount val="1"/>
                <c:pt idx="0">
                  <c:v>Non Elec EUI</c:v>
                </c:pt>
              </c:strCache>
            </c:strRef>
          </c:tx>
          <c:spPr>
            <a:solidFill>
              <a:schemeClr val="accent2"/>
            </a:solidFill>
            <a:ln>
              <a:noFill/>
            </a:ln>
            <a:effectLst/>
          </c:spPr>
          <c:invertIfNegative val="0"/>
          <c:cat>
            <c:multiLvlStrRef>
              <c:f>'Hotel-Dorm-Lodging'!$Q$66:$R$74</c:f>
              <c:multiLvlStrCache>
                <c:ptCount val="9"/>
                <c:lvl>
                  <c:pt idx="0">
                    <c:v>DC</c:v>
                  </c:pt>
                  <c:pt idx="1">
                    <c:v>NYC</c:v>
                  </c:pt>
                  <c:pt idx="2">
                    <c:v>Seattle</c:v>
                  </c:pt>
                  <c:pt idx="3">
                    <c:v>DC</c:v>
                  </c:pt>
                  <c:pt idx="4">
                    <c:v>NYC</c:v>
                  </c:pt>
                  <c:pt idx="5">
                    <c:v>Seattle</c:v>
                  </c:pt>
                  <c:pt idx="6">
                    <c:v>DC</c:v>
                  </c:pt>
                  <c:pt idx="7">
                    <c:v>NYC</c:v>
                  </c:pt>
                  <c:pt idx="8">
                    <c:v>Seattle</c:v>
                  </c:pt>
                </c:lvl>
                <c:lvl>
                  <c:pt idx="0">
                    <c:v>Elec</c:v>
                  </c:pt>
                  <c:pt idx="3">
                    <c:v>Mix</c:v>
                  </c:pt>
                  <c:pt idx="6">
                    <c:v>Fuel</c:v>
                  </c:pt>
                </c:lvl>
              </c:multiLvlStrCache>
            </c:multiLvlStrRef>
          </c:cat>
          <c:val>
            <c:numRef>
              <c:f>'Hotel-Dorm-Lodging'!$T$66:$T$74</c:f>
              <c:numCache>
                <c:formatCode>#,##0</c:formatCode>
                <c:ptCount val="9"/>
                <c:pt idx="0">
                  <c:v>5.5231618065477868</c:v>
                </c:pt>
                <c:pt idx="1">
                  <c:v>3.8361984191260481</c:v>
                </c:pt>
                <c:pt idx="2">
                  <c:v>4.6189341755407636</c:v>
                </c:pt>
                <c:pt idx="3">
                  <c:v>36.418352913489855</c:v>
                </c:pt>
                <c:pt idx="4">
                  <c:v>36.262089544620572</c:v>
                </c:pt>
                <c:pt idx="5">
                  <c:v>23.762736803076326</c:v>
                </c:pt>
                <c:pt idx="6">
                  <c:v>55.271120362508</c:v>
                </c:pt>
                <c:pt idx="7">
                  <c:v>81.318259381722058</c:v>
                </c:pt>
                <c:pt idx="8">
                  <c:v>55.100961576762394</c:v>
                </c:pt>
              </c:numCache>
            </c:numRef>
          </c:val>
          <c:extLst>
            <c:ext xmlns:c16="http://schemas.microsoft.com/office/drawing/2014/chart" uri="{C3380CC4-5D6E-409C-BE32-E72D297353CC}">
              <c16:uniqueId val="{00000001-C981-4D7C-A9E0-A2C04A4D6126}"/>
            </c:ext>
          </c:extLst>
        </c:ser>
        <c:dLbls>
          <c:showLegendKey val="0"/>
          <c:showVal val="0"/>
          <c:showCatName val="0"/>
          <c:showSerName val="0"/>
          <c:showPercent val="0"/>
          <c:showBubbleSize val="0"/>
        </c:dLbls>
        <c:gapWidth val="150"/>
        <c:overlap val="100"/>
        <c:axId val="605462048"/>
        <c:axId val="605457784"/>
      </c:barChart>
      <c:catAx>
        <c:axId val="60546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457784"/>
        <c:crosses val="autoZero"/>
        <c:auto val="1"/>
        <c:lblAlgn val="ctr"/>
        <c:lblOffset val="100"/>
        <c:noMultiLvlLbl val="0"/>
      </c:catAx>
      <c:valAx>
        <c:axId val="605457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546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ubbleChart>
        <c:varyColors val="0"/>
        <c:ser>
          <c:idx val="0"/>
          <c:order val="0"/>
          <c:tx>
            <c:strRef>
              <c:f>Office!$J$54</c:f>
              <c:strCache>
                <c:ptCount val="1"/>
                <c:pt idx="0">
                  <c:v>DC</c:v>
                </c:pt>
              </c:strCache>
            </c:strRef>
          </c:tx>
          <c:spPr>
            <a:solidFill>
              <a:schemeClr val="accent1">
                <a:alpha val="75000"/>
              </a:schemeClr>
            </a:solidFill>
            <a:ln w="25400">
              <a:noFill/>
            </a:ln>
            <a:effectLst/>
          </c:spPr>
          <c:invertIfNegative val="0"/>
          <c:xVal>
            <c:numRef>
              <c:f>Office!$I$55:$I$65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Office!$M$55:$M$65</c:f>
              <c:numCache>
                <c:formatCode>#,##0</c:formatCode>
                <c:ptCount val="11"/>
                <c:pt idx="0">
                  <c:v>107.83333333333333</c:v>
                </c:pt>
                <c:pt idx="1">
                  <c:v>109.13636363636364</c:v>
                </c:pt>
                <c:pt idx="2">
                  <c:v>55.4</c:v>
                </c:pt>
                <c:pt idx="3">
                  <c:v>77.337499999999991</c:v>
                </c:pt>
                <c:pt idx="4">
                  <c:v>93.149999999999991</c:v>
                </c:pt>
                <c:pt idx="5">
                  <c:v>76.316666666666649</c:v>
                </c:pt>
                <c:pt idx="6">
                  <c:v>81.259999999999991</c:v>
                </c:pt>
                <c:pt idx="7">
                  <c:v>95.443749999999994</c:v>
                </c:pt>
                <c:pt idx="8">
                  <c:v>93.350000000000009</c:v>
                </c:pt>
                <c:pt idx="9">
                  <c:v>94.081481481481475</c:v>
                </c:pt>
                <c:pt idx="10">
                  <c:v>61.533333333333331</c:v>
                </c:pt>
              </c:numCache>
            </c:numRef>
          </c:yVal>
          <c:bubbleSize>
            <c:numRef>
              <c:f>Office!$J$55:$J$65</c:f>
              <c:numCache>
                <c:formatCode>#,##0</c:formatCode>
                <c:ptCount val="11"/>
                <c:pt idx="0">
                  <c:v>3</c:v>
                </c:pt>
                <c:pt idx="1">
                  <c:v>11</c:v>
                </c:pt>
                <c:pt idx="2">
                  <c:v>2</c:v>
                </c:pt>
                <c:pt idx="3">
                  <c:v>8</c:v>
                </c:pt>
                <c:pt idx="4">
                  <c:v>6</c:v>
                </c:pt>
                <c:pt idx="5">
                  <c:v>12</c:v>
                </c:pt>
                <c:pt idx="6">
                  <c:v>5</c:v>
                </c:pt>
                <c:pt idx="7">
                  <c:v>16</c:v>
                </c:pt>
                <c:pt idx="8">
                  <c:v>14</c:v>
                </c:pt>
                <c:pt idx="9">
                  <c:v>27</c:v>
                </c:pt>
                <c:pt idx="10">
                  <c:v>15</c:v>
                </c:pt>
              </c:numCache>
            </c:numRef>
          </c:bubbleSize>
          <c:bubble3D val="0"/>
          <c:extLst>
            <c:ext xmlns:c16="http://schemas.microsoft.com/office/drawing/2014/chart" uri="{C3380CC4-5D6E-409C-BE32-E72D297353CC}">
              <c16:uniqueId val="{00000000-8E81-4BE3-9C5D-D24FECBC9540}"/>
            </c:ext>
          </c:extLst>
        </c:ser>
        <c:ser>
          <c:idx val="1"/>
          <c:order val="1"/>
          <c:tx>
            <c:strRef>
              <c:f>Office!$K$54</c:f>
              <c:strCache>
                <c:ptCount val="1"/>
                <c:pt idx="0">
                  <c:v>NYC</c:v>
                </c:pt>
              </c:strCache>
            </c:strRef>
          </c:tx>
          <c:spPr>
            <a:solidFill>
              <a:schemeClr val="accent2">
                <a:alpha val="75000"/>
              </a:schemeClr>
            </a:solidFill>
            <a:ln w="25400">
              <a:noFill/>
            </a:ln>
            <a:effectLst/>
          </c:spPr>
          <c:invertIfNegative val="0"/>
          <c:xVal>
            <c:numRef>
              <c:f>Office!$I$55:$I$65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Office!$N$55:$N$65</c:f>
              <c:numCache>
                <c:formatCode>#,##0</c:formatCode>
                <c:ptCount val="11"/>
                <c:pt idx="0">
                  <c:v>116.94242424242424</c:v>
                </c:pt>
                <c:pt idx="1">
                  <c:v>102.37162162162161</c:v>
                </c:pt>
                <c:pt idx="2">
                  <c:v>111.58076923076925</c:v>
                </c:pt>
                <c:pt idx="3">
                  <c:v>117.66000000000001</c:v>
                </c:pt>
                <c:pt idx="4">
                  <c:v>120.76111111111112</c:v>
                </c:pt>
                <c:pt idx="5">
                  <c:v>117.23124999999997</c:v>
                </c:pt>
                <c:pt idx="6">
                  <c:v>132.51475409836067</c:v>
                </c:pt>
                <c:pt idx="7">
                  <c:v>104.12790697674421</c:v>
                </c:pt>
                <c:pt idx="8">
                  <c:v>125.47358490566039</c:v>
                </c:pt>
                <c:pt idx="9">
                  <c:v>117.82280701754384</c:v>
                </c:pt>
                <c:pt idx="10">
                  <c:v>96.623913043478282</c:v>
                </c:pt>
              </c:numCache>
            </c:numRef>
          </c:yVal>
          <c:bubbleSize>
            <c:numRef>
              <c:f>Office!$K$55:$K$65</c:f>
              <c:numCache>
                <c:formatCode>#,##0</c:formatCode>
                <c:ptCount val="11"/>
                <c:pt idx="0">
                  <c:v>33</c:v>
                </c:pt>
                <c:pt idx="1">
                  <c:v>74</c:v>
                </c:pt>
                <c:pt idx="2">
                  <c:v>26</c:v>
                </c:pt>
                <c:pt idx="3">
                  <c:v>5</c:v>
                </c:pt>
                <c:pt idx="4">
                  <c:v>18</c:v>
                </c:pt>
                <c:pt idx="5">
                  <c:v>48</c:v>
                </c:pt>
                <c:pt idx="6">
                  <c:v>61</c:v>
                </c:pt>
                <c:pt idx="7">
                  <c:v>43</c:v>
                </c:pt>
                <c:pt idx="8">
                  <c:v>53</c:v>
                </c:pt>
                <c:pt idx="9">
                  <c:v>57</c:v>
                </c:pt>
                <c:pt idx="10">
                  <c:v>46</c:v>
                </c:pt>
              </c:numCache>
            </c:numRef>
          </c:bubbleSize>
          <c:bubble3D val="0"/>
          <c:extLst>
            <c:ext xmlns:c16="http://schemas.microsoft.com/office/drawing/2014/chart" uri="{C3380CC4-5D6E-409C-BE32-E72D297353CC}">
              <c16:uniqueId val="{00000001-8E81-4BE3-9C5D-D24FECBC9540}"/>
            </c:ext>
          </c:extLst>
        </c:ser>
        <c:ser>
          <c:idx val="2"/>
          <c:order val="2"/>
          <c:tx>
            <c:strRef>
              <c:f>Office!$L$54</c:f>
              <c:strCache>
                <c:ptCount val="1"/>
                <c:pt idx="0">
                  <c:v>Seattle</c:v>
                </c:pt>
              </c:strCache>
            </c:strRef>
          </c:tx>
          <c:spPr>
            <a:solidFill>
              <a:schemeClr val="accent3">
                <a:alpha val="75000"/>
              </a:schemeClr>
            </a:solidFill>
            <a:ln w="25400">
              <a:noFill/>
            </a:ln>
            <a:effectLst/>
          </c:spPr>
          <c:invertIfNegative val="0"/>
          <c:xVal>
            <c:numRef>
              <c:f>Office!$I$55:$I$65</c:f>
              <c:numCache>
                <c:formatCode>General</c:formatCode>
                <c:ptCount val="11"/>
                <c:pt idx="0">
                  <c:v>1910</c:v>
                </c:pt>
                <c:pt idx="1">
                  <c:v>1920</c:v>
                </c:pt>
                <c:pt idx="2">
                  <c:v>1930</c:v>
                </c:pt>
                <c:pt idx="3">
                  <c:v>1940</c:v>
                </c:pt>
                <c:pt idx="4">
                  <c:v>1950</c:v>
                </c:pt>
                <c:pt idx="5">
                  <c:v>1960</c:v>
                </c:pt>
                <c:pt idx="6">
                  <c:v>1970</c:v>
                </c:pt>
                <c:pt idx="7">
                  <c:v>1980</c:v>
                </c:pt>
                <c:pt idx="8">
                  <c:v>1990</c:v>
                </c:pt>
                <c:pt idx="9">
                  <c:v>2000</c:v>
                </c:pt>
                <c:pt idx="10">
                  <c:v>2010</c:v>
                </c:pt>
              </c:numCache>
            </c:numRef>
          </c:xVal>
          <c:yVal>
            <c:numRef>
              <c:f>Office!$O$55:$O$65</c:f>
              <c:numCache>
                <c:formatCode>#,##0</c:formatCode>
                <c:ptCount val="11"/>
                <c:pt idx="0">
                  <c:v>64.11428560529437</c:v>
                </c:pt>
                <c:pt idx="1">
                  <c:v>86.51666588253444</c:v>
                </c:pt>
                <c:pt idx="2">
                  <c:v>77.180000305175753</c:v>
                </c:pt>
                <c:pt idx="3">
                  <c:v>69.099998474121094</c:v>
                </c:pt>
                <c:pt idx="4">
                  <c:v>84.212499618530273</c:v>
                </c:pt>
                <c:pt idx="5">
                  <c:v>106.59473599885638</c:v>
                </c:pt>
                <c:pt idx="6">
                  <c:v>91.800000871930834</c:v>
                </c:pt>
                <c:pt idx="7">
                  <c:v>87.300001437847442</c:v>
                </c:pt>
                <c:pt idx="8">
                  <c:v>76.213042715321421</c:v>
                </c:pt>
                <c:pt idx="9">
                  <c:v>69.696296338681819</c:v>
                </c:pt>
                <c:pt idx="10">
                  <c:v>52.294444190131287</c:v>
                </c:pt>
              </c:numCache>
            </c:numRef>
          </c:yVal>
          <c:bubbleSize>
            <c:numRef>
              <c:f>Office!$L$55:$L$65</c:f>
              <c:numCache>
                <c:formatCode>#,##0</c:formatCode>
                <c:ptCount val="11"/>
                <c:pt idx="0">
                  <c:v>7</c:v>
                </c:pt>
                <c:pt idx="1">
                  <c:v>18</c:v>
                </c:pt>
                <c:pt idx="2">
                  <c:v>5</c:v>
                </c:pt>
                <c:pt idx="3">
                  <c:v>1</c:v>
                </c:pt>
                <c:pt idx="4">
                  <c:v>8</c:v>
                </c:pt>
                <c:pt idx="5">
                  <c:v>19</c:v>
                </c:pt>
                <c:pt idx="6">
                  <c:v>7</c:v>
                </c:pt>
                <c:pt idx="7">
                  <c:v>13</c:v>
                </c:pt>
                <c:pt idx="8">
                  <c:v>23</c:v>
                </c:pt>
                <c:pt idx="9">
                  <c:v>27</c:v>
                </c:pt>
                <c:pt idx="10">
                  <c:v>18</c:v>
                </c:pt>
              </c:numCache>
            </c:numRef>
          </c:bubbleSize>
          <c:bubble3D val="0"/>
          <c:extLst>
            <c:ext xmlns:c16="http://schemas.microsoft.com/office/drawing/2014/chart" uri="{C3380CC4-5D6E-409C-BE32-E72D297353CC}">
              <c16:uniqueId val="{00000002-8E81-4BE3-9C5D-D24FECBC9540}"/>
            </c:ext>
          </c:extLst>
        </c:ser>
        <c:dLbls>
          <c:showLegendKey val="0"/>
          <c:showVal val="0"/>
          <c:showCatName val="0"/>
          <c:showSerName val="0"/>
          <c:showPercent val="0"/>
          <c:showBubbleSize val="0"/>
        </c:dLbls>
        <c:bubbleScale val="100"/>
        <c:showNegBubbles val="0"/>
        <c:axId val="526688288"/>
        <c:axId val="526685008"/>
      </c:bubbleChart>
      <c:valAx>
        <c:axId val="526688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685008"/>
        <c:crosses val="autoZero"/>
        <c:crossBetween val="midCat"/>
      </c:valAx>
      <c:valAx>
        <c:axId val="5266850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Site EUI</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668828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2.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10</xdr:row>
      <xdr:rowOff>0</xdr:rowOff>
    </xdr:from>
    <xdr:to>
      <xdr:col>7</xdr:col>
      <xdr:colOff>222046</xdr:colOff>
      <xdr:row>10</xdr:row>
      <xdr:rowOff>514422</xdr:rowOff>
    </xdr:to>
    <xdr:pic>
      <xdr:nvPicPr>
        <xdr:cNvPr id="2" name="Picture 1">
          <a:extLst>
            <a:ext uri="{FF2B5EF4-FFF2-40B4-BE49-F238E27FC236}">
              <a16:creationId xmlns:a16="http://schemas.microsoft.com/office/drawing/2014/main" id="{27766916-73E8-4517-A725-81BE5B38423B}"/>
            </a:ext>
          </a:extLst>
        </xdr:cNvPr>
        <xdr:cNvPicPr>
          <a:picLocks noChangeAspect="1"/>
        </xdr:cNvPicPr>
      </xdr:nvPicPr>
      <xdr:blipFill>
        <a:blip xmlns:r="http://schemas.openxmlformats.org/officeDocument/2006/relationships" r:embed="rId1"/>
        <a:stretch>
          <a:fillRect/>
        </a:stretch>
      </xdr:blipFill>
      <xdr:spPr>
        <a:xfrm>
          <a:off x="6838950" y="2752725"/>
          <a:ext cx="4229690" cy="514422"/>
        </a:xfrm>
        <a:prstGeom prst="rect">
          <a:avLst/>
        </a:prstGeom>
      </xdr:spPr>
    </xdr:pic>
    <xdr:clientData/>
  </xdr:twoCellAnchor>
  <xdr:twoCellAnchor editAs="oneCell">
    <xdr:from>
      <xdr:col>1</xdr:col>
      <xdr:colOff>73818</xdr:colOff>
      <xdr:row>11</xdr:row>
      <xdr:rowOff>859629</xdr:rowOff>
    </xdr:from>
    <xdr:to>
      <xdr:col>7</xdr:col>
      <xdr:colOff>126542</xdr:colOff>
      <xdr:row>13</xdr:row>
      <xdr:rowOff>238123</xdr:rowOff>
    </xdr:to>
    <xdr:pic>
      <xdr:nvPicPr>
        <xdr:cNvPr id="4" name="Picture 3">
          <a:extLst>
            <a:ext uri="{FF2B5EF4-FFF2-40B4-BE49-F238E27FC236}">
              <a16:creationId xmlns:a16="http://schemas.microsoft.com/office/drawing/2014/main" id="{FF55AA70-33DD-4CC8-9656-139731A7F5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7350918" y="4364829"/>
          <a:ext cx="4424699" cy="10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357187</xdr:colOff>
      <xdr:row>10</xdr:row>
      <xdr:rowOff>539368</xdr:rowOff>
    </xdr:from>
    <xdr:to>
      <xdr:col>15</xdr:col>
      <xdr:colOff>1693781</xdr:colOff>
      <xdr:row>24</xdr:row>
      <xdr:rowOff>60888</xdr:rowOff>
    </xdr:to>
    <xdr:pic>
      <xdr:nvPicPr>
        <xdr:cNvPr id="6" name="Picture 5">
          <a:extLst>
            <a:ext uri="{FF2B5EF4-FFF2-40B4-BE49-F238E27FC236}">
              <a16:creationId xmlns:a16="http://schemas.microsoft.com/office/drawing/2014/main" id="{9EF32183-9C08-4253-B812-720D9A91B5C8}"/>
            </a:ext>
          </a:extLst>
        </xdr:cNvPr>
        <xdr:cNvPicPr>
          <a:picLocks noChangeAspect="1"/>
        </xdr:cNvPicPr>
      </xdr:nvPicPr>
      <xdr:blipFill>
        <a:blip xmlns:r="http://schemas.openxmlformats.org/officeDocument/2006/relationships" r:embed="rId3"/>
        <a:stretch>
          <a:fillRect/>
        </a:stretch>
      </xdr:blipFill>
      <xdr:spPr>
        <a:xfrm>
          <a:off x="11632406" y="3289712"/>
          <a:ext cx="8623219" cy="5296051"/>
        </a:xfrm>
        <a:prstGeom prst="rect">
          <a:avLst/>
        </a:prstGeom>
      </xdr:spPr>
    </xdr:pic>
    <xdr:clientData/>
  </xdr:twoCellAnchor>
  <xdr:twoCellAnchor editAs="oneCell">
    <xdr:from>
      <xdr:col>0</xdr:col>
      <xdr:colOff>0</xdr:colOff>
      <xdr:row>34</xdr:row>
      <xdr:rowOff>95250</xdr:rowOff>
    </xdr:from>
    <xdr:to>
      <xdr:col>4</xdr:col>
      <xdr:colOff>12292</xdr:colOff>
      <xdr:row>56</xdr:row>
      <xdr:rowOff>167456</xdr:rowOff>
    </xdr:to>
    <xdr:pic>
      <xdr:nvPicPr>
        <xdr:cNvPr id="5" name="Picture 4">
          <a:extLst>
            <a:ext uri="{FF2B5EF4-FFF2-40B4-BE49-F238E27FC236}">
              <a16:creationId xmlns:a16="http://schemas.microsoft.com/office/drawing/2014/main" id="{1B5DB37F-AD70-4788-A5BE-F340AE0A14A7}"/>
            </a:ext>
          </a:extLst>
        </xdr:cNvPr>
        <xdr:cNvPicPr>
          <a:picLocks noChangeAspect="1"/>
        </xdr:cNvPicPr>
      </xdr:nvPicPr>
      <xdr:blipFill>
        <a:blip xmlns:r="http://schemas.openxmlformats.org/officeDocument/2006/relationships" r:embed="rId4"/>
        <a:stretch>
          <a:fillRect/>
        </a:stretch>
      </xdr:blipFill>
      <xdr:spPr>
        <a:xfrm>
          <a:off x="0" y="13892893"/>
          <a:ext cx="8693649" cy="5419814"/>
        </a:xfrm>
        <a:prstGeom prst="rect">
          <a:avLst/>
        </a:prstGeom>
      </xdr:spPr>
    </xdr:pic>
    <xdr:clientData/>
  </xdr:twoCellAnchor>
  <xdr:twoCellAnchor editAs="oneCell">
    <xdr:from>
      <xdr:col>0</xdr:col>
      <xdr:colOff>0</xdr:colOff>
      <xdr:row>59</xdr:row>
      <xdr:rowOff>0</xdr:rowOff>
    </xdr:from>
    <xdr:to>
      <xdr:col>3</xdr:col>
      <xdr:colOff>15935</xdr:colOff>
      <xdr:row>89</xdr:row>
      <xdr:rowOff>149608</xdr:rowOff>
    </xdr:to>
    <xdr:pic>
      <xdr:nvPicPr>
        <xdr:cNvPr id="7" name="Picture 6">
          <a:extLst>
            <a:ext uri="{FF2B5EF4-FFF2-40B4-BE49-F238E27FC236}">
              <a16:creationId xmlns:a16="http://schemas.microsoft.com/office/drawing/2014/main" id="{0B172E8E-82BA-47A4-B974-9BDBE0E123E7}"/>
            </a:ext>
          </a:extLst>
        </xdr:cNvPr>
        <xdr:cNvPicPr>
          <a:picLocks noChangeAspect="1"/>
        </xdr:cNvPicPr>
      </xdr:nvPicPr>
      <xdr:blipFill>
        <a:blip xmlns:r="http://schemas.openxmlformats.org/officeDocument/2006/relationships" r:embed="rId5"/>
        <a:stretch>
          <a:fillRect/>
        </a:stretch>
      </xdr:blipFill>
      <xdr:spPr>
        <a:xfrm>
          <a:off x="0" y="19743964"/>
          <a:ext cx="8016935" cy="5456393"/>
        </a:xfrm>
        <a:prstGeom prst="rect">
          <a:avLst/>
        </a:prstGeom>
      </xdr:spPr>
    </xdr:pic>
    <xdr:clientData/>
  </xdr:twoCellAnchor>
  <xdr:twoCellAnchor editAs="oneCell">
    <xdr:from>
      <xdr:col>0</xdr:col>
      <xdr:colOff>0</xdr:colOff>
      <xdr:row>92</xdr:row>
      <xdr:rowOff>0</xdr:rowOff>
    </xdr:from>
    <xdr:to>
      <xdr:col>4</xdr:col>
      <xdr:colOff>29579</xdr:colOff>
      <xdr:row>114</xdr:row>
      <xdr:rowOff>51506</xdr:rowOff>
    </xdr:to>
    <xdr:pic>
      <xdr:nvPicPr>
        <xdr:cNvPr id="8" name="Picture 7">
          <a:extLst>
            <a:ext uri="{FF2B5EF4-FFF2-40B4-BE49-F238E27FC236}">
              <a16:creationId xmlns:a16="http://schemas.microsoft.com/office/drawing/2014/main" id="{AC4FB1E0-892C-41E1-B83F-8EA9929E6BDA}"/>
            </a:ext>
          </a:extLst>
        </xdr:cNvPr>
        <xdr:cNvPicPr>
          <a:picLocks noChangeAspect="1"/>
        </xdr:cNvPicPr>
      </xdr:nvPicPr>
      <xdr:blipFill>
        <a:blip xmlns:r="http://schemas.openxmlformats.org/officeDocument/2006/relationships" r:embed="rId6"/>
        <a:stretch>
          <a:fillRect/>
        </a:stretch>
      </xdr:blipFill>
      <xdr:spPr>
        <a:xfrm>
          <a:off x="0" y="25965978"/>
          <a:ext cx="8718036" cy="4060288"/>
        </a:xfrm>
        <a:prstGeom prst="rect">
          <a:avLst/>
        </a:prstGeom>
      </xdr:spPr>
    </xdr:pic>
    <xdr:clientData/>
  </xdr:twoCellAnchor>
  <xdr:twoCellAnchor editAs="oneCell">
    <xdr:from>
      <xdr:col>0</xdr:col>
      <xdr:colOff>0</xdr:colOff>
      <xdr:row>117</xdr:row>
      <xdr:rowOff>0</xdr:rowOff>
    </xdr:from>
    <xdr:to>
      <xdr:col>4</xdr:col>
      <xdr:colOff>121027</xdr:colOff>
      <xdr:row>143</xdr:row>
      <xdr:rowOff>163957</xdr:rowOff>
    </xdr:to>
    <xdr:pic>
      <xdr:nvPicPr>
        <xdr:cNvPr id="18" name="Picture 17">
          <a:extLst>
            <a:ext uri="{FF2B5EF4-FFF2-40B4-BE49-F238E27FC236}">
              <a16:creationId xmlns:a16="http://schemas.microsoft.com/office/drawing/2014/main" id="{E147C15D-9479-4DF1-8B71-8C3795C81BF4}"/>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0" y="30595957"/>
          <a:ext cx="8809484" cy="49016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537332</xdr:colOff>
      <xdr:row>24</xdr:row>
      <xdr:rowOff>119142</xdr:rowOff>
    </xdr:from>
    <xdr:to>
      <xdr:col>3</xdr:col>
      <xdr:colOff>377372</xdr:colOff>
      <xdr:row>47</xdr:row>
      <xdr:rowOff>52309</xdr:rowOff>
    </xdr:to>
    <xdr:pic>
      <xdr:nvPicPr>
        <xdr:cNvPr id="2" name="Picture 1">
          <a:extLst>
            <a:ext uri="{FF2B5EF4-FFF2-40B4-BE49-F238E27FC236}">
              <a16:creationId xmlns:a16="http://schemas.microsoft.com/office/drawing/2014/main" id="{D31C7C25-F631-4C48-81EB-FE390EF948B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37332" y="4716542"/>
          <a:ext cx="5656640" cy="4016005"/>
        </a:xfrm>
        <a:prstGeom prst="rect">
          <a:avLst/>
        </a:prstGeom>
      </xdr:spPr>
    </xdr:pic>
    <xdr:clientData/>
  </xdr:twoCellAnchor>
  <xdr:twoCellAnchor editAs="oneCell">
    <xdr:from>
      <xdr:col>0</xdr:col>
      <xdr:colOff>816429</xdr:colOff>
      <xdr:row>4</xdr:row>
      <xdr:rowOff>163285</xdr:rowOff>
    </xdr:from>
    <xdr:to>
      <xdr:col>4</xdr:col>
      <xdr:colOff>33746</xdr:colOff>
      <xdr:row>26</xdr:row>
      <xdr:rowOff>137121</xdr:rowOff>
    </xdr:to>
    <xdr:pic>
      <xdr:nvPicPr>
        <xdr:cNvPr id="3" name="Picture 2">
          <a:extLst>
            <a:ext uri="{FF2B5EF4-FFF2-40B4-BE49-F238E27FC236}">
              <a16:creationId xmlns:a16="http://schemas.microsoft.com/office/drawing/2014/main" id="{32FB34F6-BF10-48CB-AEEF-3E9E8668347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16429" y="833845"/>
          <a:ext cx="5652407" cy="3933696"/>
        </a:xfrm>
        <a:prstGeom prst="rect">
          <a:avLst/>
        </a:prstGeom>
      </xdr:spPr>
    </xdr:pic>
    <xdr:clientData/>
  </xdr:twoCellAnchor>
  <xdr:twoCellAnchor>
    <xdr:from>
      <xdr:col>1</xdr:col>
      <xdr:colOff>412972</xdr:colOff>
      <xdr:row>28</xdr:row>
      <xdr:rowOff>145345</xdr:rowOff>
    </xdr:from>
    <xdr:to>
      <xdr:col>1</xdr:col>
      <xdr:colOff>1047749</xdr:colOff>
      <xdr:row>43</xdr:row>
      <xdr:rowOff>62053</xdr:rowOff>
    </xdr:to>
    <xdr:sp macro="" textlink="">
      <xdr:nvSpPr>
        <xdr:cNvPr id="4" name="Rectangle 3">
          <a:extLst>
            <a:ext uri="{FF2B5EF4-FFF2-40B4-BE49-F238E27FC236}">
              <a16:creationId xmlns:a16="http://schemas.microsoft.com/office/drawing/2014/main" id="{B0686517-ED9C-431B-99BB-A6DAC8CB8903}"/>
            </a:ext>
          </a:extLst>
        </xdr:cNvPr>
        <xdr:cNvSpPr/>
      </xdr:nvSpPr>
      <xdr:spPr>
        <a:xfrm>
          <a:off x="1624552" y="5349805"/>
          <a:ext cx="634777" cy="2530368"/>
        </a:xfrm>
        <a:prstGeom prst="rect">
          <a:avLst/>
        </a:prstGeom>
        <a:noFill/>
        <a:ln w="28575">
          <a:solidFill>
            <a:srgbClr val="92D05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1020537</xdr:colOff>
      <xdr:row>29</xdr:row>
      <xdr:rowOff>81646</xdr:rowOff>
    </xdr:from>
    <xdr:to>
      <xdr:col>1</xdr:col>
      <xdr:colOff>1742259</xdr:colOff>
      <xdr:row>43</xdr:row>
      <xdr:rowOff>82190</xdr:rowOff>
    </xdr:to>
    <xdr:sp macro="" textlink="">
      <xdr:nvSpPr>
        <xdr:cNvPr id="5" name="Rectangle 4">
          <a:extLst>
            <a:ext uri="{FF2B5EF4-FFF2-40B4-BE49-F238E27FC236}">
              <a16:creationId xmlns:a16="http://schemas.microsoft.com/office/drawing/2014/main" id="{C2BA2BBA-6C9D-44AC-B185-0B63C0FFC19C}"/>
            </a:ext>
          </a:extLst>
        </xdr:cNvPr>
        <xdr:cNvSpPr/>
      </xdr:nvSpPr>
      <xdr:spPr>
        <a:xfrm>
          <a:off x="2232117" y="5453746"/>
          <a:ext cx="721722" cy="2446564"/>
        </a:xfrm>
        <a:prstGeom prst="rect">
          <a:avLst/>
        </a:prstGeom>
        <a:noFill/>
        <a:ln w="28575">
          <a:solidFill>
            <a:schemeClr val="accent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2160542</xdr:colOff>
      <xdr:row>33</xdr:row>
      <xdr:rowOff>54433</xdr:rowOff>
    </xdr:from>
    <xdr:to>
      <xdr:col>1</xdr:col>
      <xdr:colOff>2707822</xdr:colOff>
      <xdr:row>43</xdr:row>
      <xdr:rowOff>45180</xdr:rowOff>
    </xdr:to>
    <xdr:sp macro="" textlink="">
      <xdr:nvSpPr>
        <xdr:cNvPr id="6" name="Rectangle 5">
          <a:extLst>
            <a:ext uri="{FF2B5EF4-FFF2-40B4-BE49-F238E27FC236}">
              <a16:creationId xmlns:a16="http://schemas.microsoft.com/office/drawing/2014/main" id="{56473446-8E5B-4379-A6A2-B5EAAEA24CA1}"/>
            </a:ext>
          </a:extLst>
        </xdr:cNvPr>
        <xdr:cNvSpPr/>
      </xdr:nvSpPr>
      <xdr:spPr>
        <a:xfrm>
          <a:off x="3372122" y="6127573"/>
          <a:ext cx="547280" cy="1735727"/>
        </a:xfrm>
        <a:prstGeom prst="rect">
          <a:avLst/>
        </a:prstGeom>
        <a:no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59</xdr:row>
      <xdr:rowOff>34636</xdr:rowOff>
    </xdr:from>
    <xdr:to>
      <xdr:col>4</xdr:col>
      <xdr:colOff>409228</xdr:colOff>
      <xdr:row>84</xdr:row>
      <xdr:rowOff>66983</xdr:rowOff>
    </xdr:to>
    <xdr:pic>
      <xdr:nvPicPr>
        <xdr:cNvPr id="7" name="Picture 6">
          <a:extLst>
            <a:ext uri="{FF2B5EF4-FFF2-40B4-BE49-F238E27FC236}">
              <a16:creationId xmlns:a16="http://schemas.microsoft.com/office/drawing/2014/main" id="{7EE1BF34-4E69-4E4D-BEEE-ED618B12F436}"/>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211580" y="10626436"/>
          <a:ext cx="5630833" cy="4060364"/>
        </a:xfrm>
        <a:prstGeom prst="rect">
          <a:avLst/>
        </a:prstGeom>
      </xdr:spPr>
    </xdr:pic>
    <xdr:clientData/>
  </xdr:twoCellAnchor>
  <xdr:twoCellAnchor>
    <xdr:from>
      <xdr:col>1</xdr:col>
      <xdr:colOff>1679864</xdr:colOff>
      <xdr:row>69</xdr:row>
      <xdr:rowOff>69273</xdr:rowOff>
    </xdr:from>
    <xdr:to>
      <xdr:col>1</xdr:col>
      <xdr:colOff>2597727</xdr:colOff>
      <xdr:row>75</xdr:row>
      <xdr:rowOff>25978</xdr:rowOff>
    </xdr:to>
    <xdr:sp macro="" textlink="">
      <xdr:nvSpPr>
        <xdr:cNvPr id="8" name="Rectangle 7">
          <a:extLst>
            <a:ext uri="{FF2B5EF4-FFF2-40B4-BE49-F238E27FC236}">
              <a16:creationId xmlns:a16="http://schemas.microsoft.com/office/drawing/2014/main" id="{34C36D24-2697-4804-9D9A-A479B06FD52A}"/>
            </a:ext>
          </a:extLst>
        </xdr:cNvPr>
        <xdr:cNvSpPr/>
      </xdr:nvSpPr>
      <xdr:spPr>
        <a:xfrm>
          <a:off x="2891444" y="12337473"/>
          <a:ext cx="917863" cy="962545"/>
        </a:xfrm>
        <a:prstGeom prst="rect">
          <a:avLst/>
        </a:prstGeom>
        <a:noFill/>
        <a:ln w="28575">
          <a:solidFill>
            <a:schemeClr val="accent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476250</xdr:colOff>
      <xdr:row>63</xdr:row>
      <xdr:rowOff>119192</xdr:rowOff>
    </xdr:from>
    <xdr:to>
      <xdr:col>1</xdr:col>
      <xdr:colOff>1653888</xdr:colOff>
      <xdr:row>79</xdr:row>
      <xdr:rowOff>149804</xdr:rowOff>
    </xdr:to>
    <xdr:sp macro="" textlink="">
      <xdr:nvSpPr>
        <xdr:cNvPr id="9" name="Rectangle 8">
          <a:extLst>
            <a:ext uri="{FF2B5EF4-FFF2-40B4-BE49-F238E27FC236}">
              <a16:creationId xmlns:a16="http://schemas.microsoft.com/office/drawing/2014/main" id="{E2FEDDD8-1A19-46D9-A2C0-B5DB2E5B060D}"/>
            </a:ext>
          </a:extLst>
        </xdr:cNvPr>
        <xdr:cNvSpPr/>
      </xdr:nvSpPr>
      <xdr:spPr>
        <a:xfrm>
          <a:off x="1687830" y="11381552"/>
          <a:ext cx="1177638" cy="2712852"/>
        </a:xfrm>
        <a:prstGeom prst="rect">
          <a:avLst/>
        </a:prstGeom>
        <a:noFill/>
        <a:ln w="38100">
          <a:solidFill>
            <a:schemeClr val="accent2"/>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2026228</xdr:colOff>
      <xdr:row>76</xdr:row>
      <xdr:rowOff>51955</xdr:rowOff>
    </xdr:from>
    <xdr:to>
      <xdr:col>1</xdr:col>
      <xdr:colOff>2926772</xdr:colOff>
      <xdr:row>80</xdr:row>
      <xdr:rowOff>16971</xdr:rowOff>
    </xdr:to>
    <xdr:sp macro="" textlink="">
      <xdr:nvSpPr>
        <xdr:cNvPr id="10" name="Rectangle 9">
          <a:extLst>
            <a:ext uri="{FF2B5EF4-FFF2-40B4-BE49-F238E27FC236}">
              <a16:creationId xmlns:a16="http://schemas.microsoft.com/office/drawing/2014/main" id="{95F071FA-E6A2-4166-B59A-26A67707188E}"/>
            </a:ext>
          </a:extLst>
        </xdr:cNvPr>
        <xdr:cNvSpPr/>
      </xdr:nvSpPr>
      <xdr:spPr>
        <a:xfrm>
          <a:off x="3237808" y="13493635"/>
          <a:ext cx="900544" cy="635576"/>
        </a:xfrm>
        <a:prstGeom prst="rect">
          <a:avLst/>
        </a:prstGeom>
        <a:no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1965614</xdr:colOff>
      <xdr:row>77</xdr:row>
      <xdr:rowOff>69272</xdr:rowOff>
    </xdr:from>
    <xdr:ext cx="979371" cy="264560"/>
    <xdr:sp macro="" textlink="">
      <xdr:nvSpPr>
        <xdr:cNvPr id="11" name="TextBox 10">
          <a:extLst>
            <a:ext uri="{FF2B5EF4-FFF2-40B4-BE49-F238E27FC236}">
              <a16:creationId xmlns:a16="http://schemas.microsoft.com/office/drawing/2014/main" id="{22805FCB-6F31-4827-9D86-D91AE93F40C4}"/>
            </a:ext>
          </a:extLst>
        </xdr:cNvPr>
        <xdr:cNvSpPr txBox="1"/>
      </xdr:nvSpPr>
      <xdr:spPr>
        <a:xfrm>
          <a:off x="3177194" y="13678592"/>
          <a:ext cx="9793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NYC &amp; Seattle</a:t>
          </a:r>
        </a:p>
      </xdr:txBody>
    </xdr:sp>
    <xdr:clientData/>
  </xdr:oneCellAnchor>
  <xdr:twoCellAnchor>
    <xdr:from>
      <xdr:col>1</xdr:col>
      <xdr:colOff>1047750</xdr:colOff>
      <xdr:row>7</xdr:row>
      <xdr:rowOff>122464</xdr:rowOff>
    </xdr:from>
    <xdr:to>
      <xdr:col>1</xdr:col>
      <xdr:colOff>1742097</xdr:colOff>
      <xdr:row>20</xdr:row>
      <xdr:rowOff>275155</xdr:rowOff>
    </xdr:to>
    <xdr:sp macro="" textlink="">
      <xdr:nvSpPr>
        <xdr:cNvPr id="12" name="Rectangle 11">
          <a:extLst>
            <a:ext uri="{FF2B5EF4-FFF2-40B4-BE49-F238E27FC236}">
              <a16:creationId xmlns:a16="http://schemas.microsoft.com/office/drawing/2014/main" id="{CC6C91A8-C240-43CF-A960-FED5B5C01637}"/>
            </a:ext>
          </a:extLst>
        </xdr:cNvPr>
        <xdr:cNvSpPr/>
      </xdr:nvSpPr>
      <xdr:spPr>
        <a:xfrm>
          <a:off x="2259330" y="1341664"/>
          <a:ext cx="694347" cy="2629191"/>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69272</xdr:colOff>
      <xdr:row>27</xdr:row>
      <xdr:rowOff>18310</xdr:rowOff>
    </xdr:from>
    <xdr:to>
      <xdr:col>4</xdr:col>
      <xdr:colOff>472785</xdr:colOff>
      <xdr:row>49</xdr:row>
      <xdr:rowOff>73152</xdr:rowOff>
    </xdr:to>
    <xdr:pic>
      <xdr:nvPicPr>
        <xdr:cNvPr id="2" name="Picture 1">
          <a:extLst>
            <a:ext uri="{FF2B5EF4-FFF2-40B4-BE49-F238E27FC236}">
              <a16:creationId xmlns:a16="http://schemas.microsoft.com/office/drawing/2014/main" id="{C64AFB30-7F92-4963-A65F-EEAD939B3C5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46908" y="5560128"/>
          <a:ext cx="5486400" cy="3985550"/>
        </a:xfrm>
        <a:prstGeom prst="rect">
          <a:avLst/>
        </a:prstGeom>
      </xdr:spPr>
    </xdr:pic>
    <xdr:clientData/>
  </xdr:twoCellAnchor>
  <xdr:twoCellAnchor editAs="oneCell">
    <xdr:from>
      <xdr:col>1</xdr:col>
      <xdr:colOff>57150</xdr:colOff>
      <xdr:row>6</xdr:row>
      <xdr:rowOff>9525</xdr:rowOff>
    </xdr:from>
    <xdr:to>
      <xdr:col>4</xdr:col>
      <xdr:colOff>457200</xdr:colOff>
      <xdr:row>26</xdr:row>
      <xdr:rowOff>1298</xdr:rowOff>
    </xdr:to>
    <xdr:pic>
      <xdr:nvPicPr>
        <xdr:cNvPr id="8" name="Picture 7">
          <a:extLst>
            <a:ext uri="{FF2B5EF4-FFF2-40B4-BE49-F238E27FC236}">
              <a16:creationId xmlns:a16="http://schemas.microsoft.com/office/drawing/2014/main" id="{0E6C8D9E-C3E4-45AB-992D-52EC7DC6642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238250" y="1057275"/>
          <a:ext cx="5486400" cy="3985550"/>
        </a:xfrm>
        <a:prstGeom prst="rect">
          <a:avLst/>
        </a:prstGeom>
      </xdr:spPr>
    </xdr:pic>
    <xdr:clientData/>
  </xdr:twoCellAnchor>
  <xdr:twoCellAnchor>
    <xdr:from>
      <xdr:col>1</xdr:col>
      <xdr:colOff>1317810</xdr:colOff>
      <xdr:row>10</xdr:row>
      <xdr:rowOff>10087</xdr:rowOff>
    </xdr:from>
    <xdr:to>
      <xdr:col>1</xdr:col>
      <xdr:colOff>2000249</xdr:colOff>
      <xdr:row>23</xdr:row>
      <xdr:rowOff>66676</xdr:rowOff>
    </xdr:to>
    <xdr:sp macro="" textlink="">
      <xdr:nvSpPr>
        <xdr:cNvPr id="9" name="Rectangle 8">
          <a:extLst>
            <a:ext uri="{FF2B5EF4-FFF2-40B4-BE49-F238E27FC236}">
              <a16:creationId xmlns:a16="http://schemas.microsoft.com/office/drawing/2014/main" id="{67752977-DDDB-4EDC-996E-73AB85E0CF59}"/>
            </a:ext>
          </a:extLst>
        </xdr:cNvPr>
        <xdr:cNvSpPr/>
      </xdr:nvSpPr>
      <xdr:spPr>
        <a:xfrm>
          <a:off x="2495446" y="1811178"/>
          <a:ext cx="682439" cy="2662975"/>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576258</xdr:colOff>
      <xdr:row>31</xdr:row>
      <xdr:rowOff>145342</xdr:rowOff>
    </xdr:from>
    <xdr:to>
      <xdr:col>1</xdr:col>
      <xdr:colOff>1074420</xdr:colOff>
      <xdr:row>46</xdr:row>
      <xdr:rowOff>7621</xdr:rowOff>
    </xdr:to>
    <xdr:sp macro="" textlink="">
      <xdr:nvSpPr>
        <xdr:cNvPr id="11" name="Rectangle 10">
          <a:extLst>
            <a:ext uri="{FF2B5EF4-FFF2-40B4-BE49-F238E27FC236}">
              <a16:creationId xmlns:a16="http://schemas.microsoft.com/office/drawing/2014/main" id="{40EF2CF9-C3FD-44F4-8E6D-A6B75D10AB89}"/>
            </a:ext>
          </a:extLst>
        </xdr:cNvPr>
        <xdr:cNvSpPr/>
      </xdr:nvSpPr>
      <xdr:spPr>
        <a:xfrm>
          <a:off x="1757358" y="6469942"/>
          <a:ext cx="498162" cy="2719779"/>
        </a:xfrm>
        <a:prstGeom prst="rect">
          <a:avLst/>
        </a:prstGeom>
        <a:noFill/>
        <a:ln w="28575">
          <a:solidFill>
            <a:srgbClr val="92D05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1443989</xdr:colOff>
      <xdr:row>31</xdr:row>
      <xdr:rowOff>72952</xdr:rowOff>
    </xdr:from>
    <xdr:to>
      <xdr:col>1</xdr:col>
      <xdr:colOff>1783080</xdr:colOff>
      <xdr:row>46</xdr:row>
      <xdr:rowOff>68580</xdr:rowOff>
    </xdr:to>
    <xdr:sp macro="" textlink="">
      <xdr:nvSpPr>
        <xdr:cNvPr id="12" name="Rectangle 11">
          <a:extLst>
            <a:ext uri="{FF2B5EF4-FFF2-40B4-BE49-F238E27FC236}">
              <a16:creationId xmlns:a16="http://schemas.microsoft.com/office/drawing/2014/main" id="{AFEC5EA3-FFE4-49FD-93F6-2FD5E30724D2}"/>
            </a:ext>
          </a:extLst>
        </xdr:cNvPr>
        <xdr:cNvSpPr/>
      </xdr:nvSpPr>
      <xdr:spPr>
        <a:xfrm>
          <a:off x="2625089" y="6397552"/>
          <a:ext cx="339091" cy="2853128"/>
        </a:xfrm>
        <a:prstGeom prst="rect">
          <a:avLst/>
        </a:prstGeom>
        <a:noFill/>
        <a:ln w="28575">
          <a:solidFill>
            <a:schemeClr val="accent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2813684</xdr:colOff>
      <xdr:row>38</xdr:row>
      <xdr:rowOff>0</xdr:rowOff>
    </xdr:from>
    <xdr:to>
      <xdr:col>1</xdr:col>
      <xdr:colOff>3230879</xdr:colOff>
      <xdr:row>47</xdr:row>
      <xdr:rowOff>72390</xdr:rowOff>
    </xdr:to>
    <xdr:sp macro="" textlink="">
      <xdr:nvSpPr>
        <xdr:cNvPr id="13" name="Rectangle 12">
          <a:extLst>
            <a:ext uri="{FF2B5EF4-FFF2-40B4-BE49-F238E27FC236}">
              <a16:creationId xmlns:a16="http://schemas.microsoft.com/office/drawing/2014/main" id="{50427213-CB24-4741-AE49-2B42AD0CA76B}"/>
            </a:ext>
          </a:extLst>
        </xdr:cNvPr>
        <xdr:cNvSpPr/>
      </xdr:nvSpPr>
      <xdr:spPr>
        <a:xfrm>
          <a:off x="3994784" y="7871460"/>
          <a:ext cx="417195" cy="1543050"/>
        </a:xfrm>
        <a:prstGeom prst="rect">
          <a:avLst/>
        </a:prstGeom>
        <a:no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0</xdr:colOff>
      <xdr:row>59</xdr:row>
      <xdr:rowOff>34636</xdr:rowOff>
    </xdr:from>
    <xdr:to>
      <xdr:col>4</xdr:col>
      <xdr:colOff>403513</xdr:colOff>
      <xdr:row>83</xdr:row>
      <xdr:rowOff>71640</xdr:rowOff>
    </xdr:to>
    <xdr:pic>
      <xdr:nvPicPr>
        <xdr:cNvPr id="4" name="Picture 3">
          <a:extLst>
            <a:ext uri="{FF2B5EF4-FFF2-40B4-BE49-F238E27FC236}">
              <a16:creationId xmlns:a16="http://schemas.microsoft.com/office/drawing/2014/main" id="{A584040D-E778-475A-91CF-0633E1546A8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177636" y="11430000"/>
          <a:ext cx="5486400" cy="3985550"/>
        </a:xfrm>
        <a:prstGeom prst="rect">
          <a:avLst/>
        </a:prstGeom>
      </xdr:spPr>
    </xdr:pic>
    <xdr:clientData/>
  </xdr:twoCellAnchor>
  <xdr:twoCellAnchor>
    <xdr:from>
      <xdr:col>1</xdr:col>
      <xdr:colOff>1679864</xdr:colOff>
      <xdr:row>69</xdr:row>
      <xdr:rowOff>69273</xdr:rowOff>
    </xdr:from>
    <xdr:to>
      <xdr:col>1</xdr:col>
      <xdr:colOff>2597727</xdr:colOff>
      <xdr:row>75</xdr:row>
      <xdr:rowOff>25978</xdr:rowOff>
    </xdr:to>
    <xdr:sp macro="" textlink="">
      <xdr:nvSpPr>
        <xdr:cNvPr id="15" name="Rectangle 14">
          <a:extLst>
            <a:ext uri="{FF2B5EF4-FFF2-40B4-BE49-F238E27FC236}">
              <a16:creationId xmlns:a16="http://schemas.microsoft.com/office/drawing/2014/main" id="{2B40D9EA-EF59-4B95-843E-F868BADBCAC0}"/>
            </a:ext>
          </a:extLst>
        </xdr:cNvPr>
        <xdr:cNvSpPr/>
      </xdr:nvSpPr>
      <xdr:spPr>
        <a:xfrm>
          <a:off x="2857500" y="13109864"/>
          <a:ext cx="917863" cy="943841"/>
        </a:xfrm>
        <a:prstGeom prst="rect">
          <a:avLst/>
        </a:prstGeom>
        <a:noFill/>
        <a:ln w="28575">
          <a:solidFill>
            <a:schemeClr val="accent1">
              <a:lumMod val="75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476250</xdr:colOff>
      <xdr:row>63</xdr:row>
      <xdr:rowOff>119192</xdr:rowOff>
    </xdr:from>
    <xdr:to>
      <xdr:col>1</xdr:col>
      <xdr:colOff>1653888</xdr:colOff>
      <xdr:row>79</xdr:row>
      <xdr:rowOff>149804</xdr:rowOff>
    </xdr:to>
    <xdr:sp macro="" textlink="">
      <xdr:nvSpPr>
        <xdr:cNvPr id="16" name="Rectangle 15">
          <a:extLst>
            <a:ext uri="{FF2B5EF4-FFF2-40B4-BE49-F238E27FC236}">
              <a16:creationId xmlns:a16="http://schemas.microsoft.com/office/drawing/2014/main" id="{88F1F5FD-F24E-4C04-B738-C7F007A7228E}"/>
            </a:ext>
          </a:extLst>
        </xdr:cNvPr>
        <xdr:cNvSpPr/>
      </xdr:nvSpPr>
      <xdr:spPr>
        <a:xfrm>
          <a:off x="1653886" y="12172647"/>
          <a:ext cx="1177638" cy="2662975"/>
        </a:xfrm>
        <a:prstGeom prst="rect">
          <a:avLst/>
        </a:prstGeom>
        <a:noFill/>
        <a:ln w="38100">
          <a:solidFill>
            <a:schemeClr val="accent2"/>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2026228</xdr:colOff>
      <xdr:row>76</xdr:row>
      <xdr:rowOff>51955</xdr:rowOff>
    </xdr:from>
    <xdr:to>
      <xdr:col>1</xdr:col>
      <xdr:colOff>2926772</xdr:colOff>
      <xdr:row>80</xdr:row>
      <xdr:rowOff>16971</xdr:rowOff>
    </xdr:to>
    <xdr:sp macro="" textlink="">
      <xdr:nvSpPr>
        <xdr:cNvPr id="14" name="Rectangle 13">
          <a:extLst>
            <a:ext uri="{FF2B5EF4-FFF2-40B4-BE49-F238E27FC236}">
              <a16:creationId xmlns:a16="http://schemas.microsoft.com/office/drawing/2014/main" id="{83AC7609-BDDF-44AB-9134-8FB2BDA4B186}"/>
            </a:ext>
          </a:extLst>
        </xdr:cNvPr>
        <xdr:cNvSpPr/>
      </xdr:nvSpPr>
      <xdr:spPr>
        <a:xfrm>
          <a:off x="3203864" y="14244205"/>
          <a:ext cx="900544" cy="623107"/>
        </a:xfrm>
        <a:prstGeom prst="rect">
          <a:avLst/>
        </a:prstGeom>
        <a:noFill/>
        <a:ln w="28575">
          <a:solidFill>
            <a:srgbClr val="FFC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1965614</xdr:colOff>
      <xdr:row>77</xdr:row>
      <xdr:rowOff>69272</xdr:rowOff>
    </xdr:from>
    <xdr:ext cx="979371" cy="264560"/>
    <xdr:sp macro="" textlink="">
      <xdr:nvSpPr>
        <xdr:cNvPr id="3" name="TextBox 2">
          <a:extLst>
            <a:ext uri="{FF2B5EF4-FFF2-40B4-BE49-F238E27FC236}">
              <a16:creationId xmlns:a16="http://schemas.microsoft.com/office/drawing/2014/main" id="{5109236A-9AC6-4A8E-9C8F-D802987CB902}"/>
            </a:ext>
          </a:extLst>
        </xdr:cNvPr>
        <xdr:cNvSpPr txBox="1"/>
      </xdr:nvSpPr>
      <xdr:spPr>
        <a:xfrm>
          <a:off x="3143250" y="14426045"/>
          <a:ext cx="9793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NYC &amp; Seattle</a:t>
          </a:r>
        </a:p>
      </xdr:txBody>
    </xdr:sp>
    <xdr:clientData/>
  </xdr:oneCellAnchor>
  <xdr:twoCellAnchor>
    <xdr:from>
      <xdr:col>19</xdr:col>
      <xdr:colOff>62865</xdr:colOff>
      <xdr:row>40</xdr:row>
      <xdr:rowOff>110490</xdr:rowOff>
    </xdr:from>
    <xdr:to>
      <xdr:col>27</xdr:col>
      <xdr:colOff>84703</xdr:colOff>
      <xdr:row>56</xdr:row>
      <xdr:rowOff>88151</xdr:rowOff>
    </xdr:to>
    <xdr:graphicFrame macro="">
      <xdr:nvGraphicFramePr>
        <xdr:cNvPr id="17" name="Chart 16">
          <a:extLst>
            <a:ext uri="{FF2B5EF4-FFF2-40B4-BE49-F238E27FC236}">
              <a16:creationId xmlns:a16="http://schemas.microsoft.com/office/drawing/2014/main" id="{86F7D0A6-96C0-4A22-B65C-1B81168B379A}"/>
            </a:ext>
            <a:ext uri="{147F2762-F138-4A5C-976F-8EAC2B608ADB}">
              <a16:predDERef xmlns:a16="http://schemas.microsoft.com/office/drawing/2014/main" pred="{B476F4E5-3B19-4DAB-82C3-4D2042DAF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161925</xdr:colOff>
      <xdr:row>62</xdr:row>
      <xdr:rowOff>74158</xdr:rowOff>
    </xdr:from>
    <xdr:to>
      <xdr:col>14</xdr:col>
      <xdr:colOff>38100</xdr:colOff>
      <xdr:row>76</xdr:row>
      <xdr:rowOff>14286</xdr:rowOff>
    </xdr:to>
    <xdr:graphicFrame macro="">
      <xdr:nvGraphicFramePr>
        <xdr:cNvPr id="13" name="Chart 12">
          <a:extLst>
            <a:ext uri="{FF2B5EF4-FFF2-40B4-BE49-F238E27FC236}">
              <a16:creationId xmlns:a16="http://schemas.microsoft.com/office/drawing/2014/main" id="{DF338D92-1375-42FF-B690-1E93B039F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543048</xdr:colOff>
      <xdr:row>35</xdr:row>
      <xdr:rowOff>51956</xdr:rowOff>
    </xdr:from>
    <xdr:to>
      <xdr:col>2</xdr:col>
      <xdr:colOff>240969</xdr:colOff>
      <xdr:row>51</xdr:row>
      <xdr:rowOff>39055</xdr:rowOff>
    </xdr:to>
    <xdr:pic>
      <xdr:nvPicPr>
        <xdr:cNvPr id="15" name="Picture 14">
          <a:extLst>
            <a:ext uri="{FF2B5EF4-FFF2-40B4-BE49-F238E27FC236}">
              <a16:creationId xmlns:a16="http://schemas.microsoft.com/office/drawing/2014/main" id="{5DEA971A-3CA0-4641-9C88-FB6D12C5DF1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43048" y="6760277"/>
          <a:ext cx="3657600" cy="2654099"/>
        </a:xfrm>
        <a:prstGeom prst="rect">
          <a:avLst/>
        </a:prstGeom>
        <a:ln>
          <a:noFill/>
        </a:ln>
      </xdr:spPr>
    </xdr:pic>
    <xdr:clientData/>
  </xdr:twoCellAnchor>
  <xdr:twoCellAnchor editAs="oneCell">
    <xdr:from>
      <xdr:col>0</xdr:col>
      <xdr:colOff>525666</xdr:colOff>
      <xdr:row>20</xdr:row>
      <xdr:rowOff>261133</xdr:rowOff>
    </xdr:from>
    <xdr:to>
      <xdr:col>2</xdr:col>
      <xdr:colOff>183078</xdr:colOff>
      <xdr:row>34</xdr:row>
      <xdr:rowOff>414999</xdr:rowOff>
    </xdr:to>
    <xdr:pic>
      <xdr:nvPicPr>
        <xdr:cNvPr id="16" name="Picture 15">
          <a:extLst>
            <a:ext uri="{FF2B5EF4-FFF2-40B4-BE49-F238E27FC236}">
              <a16:creationId xmlns:a16="http://schemas.microsoft.com/office/drawing/2014/main" id="{7E8F43B3-F6AD-4EF2-9535-4A45805D230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25666" y="4016704"/>
          <a:ext cx="3617091" cy="2616759"/>
        </a:xfrm>
        <a:prstGeom prst="rect">
          <a:avLst/>
        </a:prstGeom>
      </xdr:spPr>
    </xdr:pic>
    <xdr:clientData/>
  </xdr:twoCellAnchor>
  <xdr:twoCellAnchor>
    <xdr:from>
      <xdr:col>19</xdr:col>
      <xdr:colOff>564695</xdr:colOff>
      <xdr:row>60</xdr:row>
      <xdr:rowOff>43541</xdr:rowOff>
    </xdr:from>
    <xdr:to>
      <xdr:col>27</xdr:col>
      <xdr:colOff>88445</xdr:colOff>
      <xdr:row>74</xdr:row>
      <xdr:rowOff>38098</xdr:rowOff>
    </xdr:to>
    <xdr:graphicFrame macro="">
      <xdr:nvGraphicFramePr>
        <xdr:cNvPr id="2" name="Chart 1">
          <a:extLst>
            <a:ext uri="{FF2B5EF4-FFF2-40B4-BE49-F238E27FC236}">
              <a16:creationId xmlns:a16="http://schemas.microsoft.com/office/drawing/2014/main" id="{45B46BE8-9B4F-4D84-9346-DF3B1DC02E8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315686</xdr:colOff>
      <xdr:row>2</xdr:row>
      <xdr:rowOff>152401</xdr:rowOff>
    </xdr:from>
    <xdr:to>
      <xdr:col>3</xdr:col>
      <xdr:colOff>0</xdr:colOff>
      <xdr:row>23</xdr:row>
      <xdr:rowOff>96550</xdr:rowOff>
    </xdr:to>
    <xdr:pic>
      <xdr:nvPicPr>
        <xdr:cNvPr id="2" name="Picture 1">
          <a:extLst>
            <a:ext uri="{FF2B5EF4-FFF2-40B4-BE49-F238E27FC236}">
              <a16:creationId xmlns:a16="http://schemas.microsoft.com/office/drawing/2014/main" id="{EA369C79-9F97-4023-B077-CF5C0A9B82E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15686" y="478972"/>
          <a:ext cx="5486400" cy="3982749"/>
        </a:xfrm>
        <a:prstGeom prst="rect">
          <a:avLst/>
        </a:prstGeom>
      </xdr:spPr>
    </xdr:pic>
    <xdr:clientData/>
  </xdr:twoCellAnchor>
  <xdr:twoCellAnchor editAs="oneCell">
    <xdr:from>
      <xdr:col>0</xdr:col>
      <xdr:colOff>261257</xdr:colOff>
      <xdr:row>24</xdr:row>
      <xdr:rowOff>21773</xdr:rowOff>
    </xdr:from>
    <xdr:to>
      <xdr:col>2</xdr:col>
      <xdr:colOff>566057</xdr:colOff>
      <xdr:row>47</xdr:row>
      <xdr:rowOff>20350</xdr:rowOff>
    </xdr:to>
    <xdr:pic>
      <xdr:nvPicPr>
        <xdr:cNvPr id="4" name="Picture 3">
          <a:extLst>
            <a:ext uri="{FF2B5EF4-FFF2-40B4-BE49-F238E27FC236}">
              <a16:creationId xmlns:a16="http://schemas.microsoft.com/office/drawing/2014/main" id="{78559FA0-0F98-4584-AB27-D842BD490A7F}"/>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61257" y="4550230"/>
          <a:ext cx="5486400" cy="3982749"/>
        </a:xfrm>
        <a:prstGeom prst="rect">
          <a:avLst/>
        </a:prstGeom>
      </xdr:spPr>
    </xdr:pic>
    <xdr:clientData/>
  </xdr:twoCellAnchor>
  <xdr:twoCellAnchor editAs="oneCell">
    <xdr:from>
      <xdr:col>0</xdr:col>
      <xdr:colOff>299356</xdr:colOff>
      <xdr:row>47</xdr:row>
      <xdr:rowOff>176892</xdr:rowOff>
    </xdr:from>
    <xdr:to>
      <xdr:col>3</xdr:col>
      <xdr:colOff>595093</xdr:colOff>
      <xdr:row>74</xdr:row>
      <xdr:rowOff>66670</xdr:rowOff>
    </xdr:to>
    <xdr:pic>
      <xdr:nvPicPr>
        <xdr:cNvPr id="3" name="Picture 2">
          <a:extLst>
            <a:ext uri="{FF2B5EF4-FFF2-40B4-BE49-F238E27FC236}">
              <a16:creationId xmlns:a16="http://schemas.microsoft.com/office/drawing/2014/main" id="{7317C080-36B7-4AA4-AFFD-2816C679663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99356" y="8790213"/>
          <a:ext cx="5956308" cy="43529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257175</xdr:colOff>
      <xdr:row>56</xdr:row>
      <xdr:rowOff>101373</xdr:rowOff>
    </xdr:from>
    <xdr:to>
      <xdr:col>7</xdr:col>
      <xdr:colOff>582386</xdr:colOff>
      <xdr:row>70</xdr:row>
      <xdr:rowOff>177573</xdr:rowOff>
    </xdr:to>
    <xdr:graphicFrame macro="">
      <xdr:nvGraphicFramePr>
        <xdr:cNvPr id="2" name="Chart 1">
          <a:extLst>
            <a:ext uri="{FF2B5EF4-FFF2-40B4-BE49-F238E27FC236}">
              <a16:creationId xmlns:a16="http://schemas.microsoft.com/office/drawing/2014/main" id="{03797592-8F4A-454F-A839-611C96D43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20</xdr:col>
      <xdr:colOff>15579</xdr:colOff>
      <xdr:row>48</xdr:row>
      <xdr:rowOff>27214</xdr:rowOff>
    </xdr:from>
    <xdr:to>
      <xdr:col>29</xdr:col>
      <xdr:colOff>332768</xdr:colOff>
      <xdr:row>70</xdr:row>
      <xdr:rowOff>132265</xdr:rowOff>
    </xdr:to>
    <xdr:pic>
      <xdr:nvPicPr>
        <xdr:cNvPr id="10" name="Picture 9">
          <a:extLst>
            <a:ext uri="{FF2B5EF4-FFF2-40B4-BE49-F238E27FC236}">
              <a16:creationId xmlns:a16="http://schemas.microsoft.com/office/drawing/2014/main" id="{F9F543B4-D643-40DB-834B-F96DE76707F3}"/>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514615" y="9007928"/>
          <a:ext cx="5896117" cy="42824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57966</xdr:colOff>
      <xdr:row>9</xdr:row>
      <xdr:rowOff>39080</xdr:rowOff>
    </xdr:from>
    <xdr:to>
      <xdr:col>24</xdr:col>
      <xdr:colOff>87406</xdr:colOff>
      <xdr:row>25</xdr:row>
      <xdr:rowOff>97585</xdr:rowOff>
    </xdr:to>
    <xdr:pic>
      <xdr:nvPicPr>
        <xdr:cNvPr id="2" name="Picture 1">
          <a:extLst>
            <a:ext uri="{FF2B5EF4-FFF2-40B4-BE49-F238E27FC236}">
              <a16:creationId xmlns:a16="http://schemas.microsoft.com/office/drawing/2014/main" id="{F9139DDF-382B-43EC-A3A1-D9B98BCE2D09}"/>
            </a:ext>
          </a:extLst>
        </xdr:cNvPr>
        <xdr:cNvPicPr>
          <a:picLocks noChangeAspect="1"/>
        </xdr:cNvPicPr>
      </xdr:nvPicPr>
      <xdr:blipFill>
        <a:blip xmlns:r="http://schemas.openxmlformats.org/officeDocument/2006/relationships" r:embed="rId1"/>
        <a:stretch>
          <a:fillRect/>
        </a:stretch>
      </xdr:blipFill>
      <xdr:spPr>
        <a:xfrm>
          <a:off x="15981525" y="1462227"/>
          <a:ext cx="6878475" cy="4066849"/>
        </a:xfrm>
        <a:prstGeom prst="rect">
          <a:avLst/>
        </a:prstGeom>
      </xdr:spPr>
    </xdr:pic>
    <xdr:clientData/>
  </xdr:twoCellAnchor>
  <xdr:twoCellAnchor editAs="oneCell">
    <xdr:from>
      <xdr:col>24</xdr:col>
      <xdr:colOff>71718</xdr:colOff>
      <xdr:row>9</xdr:row>
      <xdr:rowOff>35860</xdr:rowOff>
    </xdr:from>
    <xdr:to>
      <xdr:col>34</xdr:col>
      <xdr:colOff>20498</xdr:colOff>
      <xdr:row>21</xdr:row>
      <xdr:rowOff>210540</xdr:rowOff>
    </xdr:to>
    <xdr:pic>
      <xdr:nvPicPr>
        <xdr:cNvPr id="3" name="Picture 2">
          <a:extLst>
            <a:ext uri="{FF2B5EF4-FFF2-40B4-BE49-F238E27FC236}">
              <a16:creationId xmlns:a16="http://schemas.microsoft.com/office/drawing/2014/main" id="{B3DC152C-2446-472E-84C3-8FB44D85B677}"/>
            </a:ext>
          </a:extLst>
        </xdr:cNvPr>
        <xdr:cNvPicPr>
          <a:picLocks noChangeAspect="1"/>
        </xdr:cNvPicPr>
      </xdr:nvPicPr>
      <xdr:blipFill>
        <a:blip xmlns:r="http://schemas.openxmlformats.org/officeDocument/2006/relationships" r:embed="rId2"/>
        <a:stretch>
          <a:fillRect/>
        </a:stretch>
      </xdr:blipFill>
      <xdr:spPr>
        <a:xfrm>
          <a:off x="23559247" y="1398495"/>
          <a:ext cx="6591627" cy="32400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20</xdr:col>
      <xdr:colOff>0</xdr:colOff>
      <xdr:row>8</xdr:row>
      <xdr:rowOff>0</xdr:rowOff>
    </xdr:from>
    <xdr:ext cx="6401355" cy="4968671"/>
    <xdr:pic>
      <xdr:nvPicPr>
        <xdr:cNvPr id="2" name="Picture 1">
          <a:extLst>
            <a:ext uri="{FF2B5EF4-FFF2-40B4-BE49-F238E27FC236}">
              <a16:creationId xmlns:a16="http://schemas.microsoft.com/office/drawing/2014/main" id="{B132462B-DF47-4F2E-B12F-987707330310}"/>
            </a:ext>
          </a:extLst>
        </xdr:cNvPr>
        <xdr:cNvPicPr>
          <a:picLocks noChangeAspect="1"/>
        </xdr:cNvPicPr>
      </xdr:nvPicPr>
      <xdr:blipFill>
        <a:blip xmlns:r="http://schemas.openxmlformats.org/officeDocument/2006/relationships" r:embed="rId1"/>
        <a:stretch>
          <a:fillRect/>
        </a:stretch>
      </xdr:blipFill>
      <xdr:spPr>
        <a:xfrm>
          <a:off x="12192000" y="1333500"/>
          <a:ext cx="6401355" cy="496867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webstaurantstore.com/frymaster-fpel214-ca-electric-floor-fryer-with-two-30-lb-frypots-and-automatic-top-off-480v-3-phase-14-kw/369FPL214CAG.html" TargetMode="External"/><Relationship Id="rId13" Type="http://schemas.openxmlformats.org/officeDocument/2006/relationships/hyperlink" Target="https://www.homedepot.com/p/Maytag-9-2-cu-ft-120-Volt-Metallic-Slate-Gas-Vented-Dryer-with-Extra-Moisture-Sensor-ENERGY-STAR-MGDB955FC/300026446" TargetMode="External"/><Relationship Id="rId18" Type="http://schemas.openxmlformats.org/officeDocument/2006/relationships/hyperlink" Target="https://www.energystar.gov/productfinder/product/certified-clothes-dryers/details/2282558" TargetMode="External"/><Relationship Id="rId3" Type="http://schemas.openxmlformats.org/officeDocument/2006/relationships/hyperlink" Target="https://fishnick.com/publications/fieldstudies/Energy_Reduction_in_Commercial_Kitchens_SFIA.pdf" TargetMode="External"/><Relationship Id="rId21" Type="http://schemas.openxmlformats.org/officeDocument/2006/relationships/vmlDrawing" Target="../drawings/vmlDrawing7.vml"/><Relationship Id="rId7" Type="http://schemas.openxmlformats.org/officeDocument/2006/relationships/hyperlink" Target="https://www.webstaurantstore.com/frymaster-fpgl230-ca-natural-gas-floor-fryer-with-two-30-lb-frypots-and-automatic-top-off-150-000-btu/369FPG230CAN.html" TargetMode="External"/><Relationship Id="rId12" Type="http://schemas.openxmlformats.org/officeDocument/2006/relationships/hyperlink" Target="https://foursevenfive.com/sanden-sanco2/" TargetMode="External"/><Relationship Id="rId17" Type="http://schemas.openxmlformats.org/officeDocument/2006/relationships/hyperlink" Target="https://www.energystar.gov/products/appliances/clothes_dryers/key_product_criteria" TargetMode="External"/><Relationship Id="rId2" Type="http://schemas.openxmlformats.org/officeDocument/2006/relationships/hyperlink" Target="https://www.energystar.gov/products/commercial_food_service_equipment/commercial_griddles/key_products_criteria" TargetMode="External"/><Relationship Id="rId16" Type="http://schemas.openxmlformats.org/officeDocument/2006/relationships/hyperlink" Target="https://www.energystar.gov/productfinder/product/certified-water-heaters/details/2323847" TargetMode="External"/><Relationship Id="rId20" Type="http://schemas.openxmlformats.org/officeDocument/2006/relationships/printerSettings" Target="../printerSettings/printerSettings11.bin"/><Relationship Id="rId1" Type="http://schemas.openxmlformats.org/officeDocument/2006/relationships/hyperlink" Target="https://www.energystar.gov/products/commercial_food_service_equipment/commercial_fryers/key_product_criteria" TargetMode="External"/><Relationship Id="rId6" Type="http://schemas.openxmlformats.org/officeDocument/2006/relationships/hyperlink" Target="https://www.restaurantsupply.com/blodgett-bdo-100-g-es-natural-gas-single-deck-full-size-gas-convection-oven-45-000-btu?cmp=cel&amp;trigger=ac" TargetMode="External"/><Relationship Id="rId11" Type="http://schemas.openxmlformats.org/officeDocument/2006/relationships/hyperlink" Target="https://www.homedepot.com/p/Westinghouse-50-Gal-Ultra-High-Efficiency-High-Output-10-Year-76-000-BTU-Natural-Gas-Water-Heater-with-Durable-Stainless-Steel-Tank-WGR050NG076/205625740" TargetMode="External"/><Relationship Id="rId5" Type="http://schemas.openxmlformats.org/officeDocument/2006/relationships/hyperlink" Target="https://www.restaurantsupply.com/blodgett-bdo-100-e-single-deck-full-size-electric-convection-oven-208v-1-phase-11kw" TargetMode="External"/><Relationship Id="rId15" Type="http://schemas.openxmlformats.org/officeDocument/2006/relationships/hyperlink" Target="https://caenergywise.com/calculators/electric-fryers/" TargetMode="External"/><Relationship Id="rId10" Type="http://schemas.openxmlformats.org/officeDocument/2006/relationships/hyperlink" Target="https://www.katom.com/087-GGF1201A2400T1.html" TargetMode="External"/><Relationship Id="rId19" Type="http://schemas.openxmlformats.org/officeDocument/2006/relationships/hyperlink" Target="https://caenergywise.com/calculators/electric-fryers/" TargetMode="External"/><Relationship Id="rId4" Type="http://schemas.openxmlformats.org/officeDocument/2006/relationships/hyperlink" Target="https://www.energystar.gov/products/commercial_food_service_equipment/commercial_ovens/key_product_criteria" TargetMode="External"/><Relationship Id="rId9" Type="http://schemas.openxmlformats.org/officeDocument/2006/relationships/hyperlink" Target="https://www.katom.com/087-EGD2403B360000.html" TargetMode="External"/><Relationship Id="rId14" Type="http://schemas.openxmlformats.org/officeDocument/2006/relationships/hyperlink" Target="https://www.homedepot.com/p/Maytag-9-2-cu-ft-240-Volt-Metallic-Slate-Electric-Vented-Dryer-with-Extra-Moisture-Sensor-ENERGY-STAR-MEDB955FC/207179211" TargetMode="External"/><Relationship Id="rId22"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hyperlink" Target="https://www.eia.gov/consumption/commercial/building-type-definitions.php" TargetMode="External"/><Relationship Id="rId1" Type="http://schemas.openxmlformats.org/officeDocument/2006/relationships/hyperlink" Target="https://portfoliomanager.energystar.gov/pdf/reference/US%20National%20Median%20Table.pdf"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7.bin"/><Relationship Id="rId1" Type="http://schemas.openxmlformats.org/officeDocument/2006/relationships/hyperlink" Target="https://www.homeadvisor.com/cost/electrical/upgrade-an-electrical-panel/"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2453E-40BB-4F53-A869-2C8B16FECA57}">
  <sheetPr>
    <pageSetUpPr fitToPage="1"/>
  </sheetPr>
  <dimension ref="A1:J78"/>
  <sheetViews>
    <sheetView workbookViewId="0"/>
  </sheetViews>
  <sheetFormatPr defaultRowHeight="15" x14ac:dyDescent="0.25"/>
  <cols>
    <col min="1" max="1" width="28.7109375" customWidth="1"/>
    <col min="2" max="3" width="9.7109375" customWidth="1"/>
    <col min="4" max="4" width="10.5703125" customWidth="1"/>
    <col min="5" max="7" width="8.7109375" customWidth="1"/>
    <col min="8" max="8" width="7.7109375" customWidth="1"/>
    <col min="9" max="9" width="7.7109375" style="15" customWidth="1"/>
    <col min="10" max="10" width="7.7109375" style="24" customWidth="1"/>
  </cols>
  <sheetData>
    <row r="1" spans="1:10" x14ac:dyDescent="0.25">
      <c r="A1" s="23" t="s">
        <v>0</v>
      </c>
      <c r="B1" s="23"/>
      <c r="C1" s="23"/>
      <c r="D1" s="23"/>
      <c r="E1" s="263"/>
      <c r="F1" s="263"/>
      <c r="G1" s="263"/>
      <c r="H1" s="263"/>
      <c r="I1" s="264"/>
    </row>
    <row r="2" spans="1:10" ht="22.5" customHeight="1" x14ac:dyDescent="0.25">
      <c r="A2" s="631" t="s">
        <v>1</v>
      </c>
      <c r="B2" s="631"/>
      <c r="C2" s="631"/>
      <c r="D2" s="631"/>
      <c r="E2" s="632"/>
      <c r="F2" s="632"/>
      <c r="G2" s="632"/>
      <c r="H2" s="632"/>
      <c r="I2" s="632"/>
      <c r="J2" s="632"/>
    </row>
    <row r="3" spans="1:10" ht="27" customHeight="1" x14ac:dyDescent="0.25">
      <c r="A3" s="390"/>
      <c r="B3" s="390"/>
      <c r="C3" s="390"/>
      <c r="D3" s="390"/>
      <c r="E3" s="633" t="s">
        <v>2</v>
      </c>
      <c r="F3" s="633"/>
      <c r="G3" s="633"/>
      <c r="H3" s="633"/>
      <c r="I3" s="633"/>
      <c r="J3" s="633"/>
    </row>
    <row r="4" spans="1:10" ht="46.5" customHeight="1" x14ac:dyDescent="0.25">
      <c r="A4" s="390"/>
      <c r="B4" s="633" t="s">
        <v>3</v>
      </c>
      <c r="C4" s="633"/>
      <c r="D4" s="634"/>
      <c r="E4" s="263"/>
      <c r="F4" s="635" t="s">
        <v>4</v>
      </c>
      <c r="G4" s="635" t="s">
        <v>5</v>
      </c>
      <c r="H4" s="633" t="s">
        <v>6</v>
      </c>
      <c r="I4" s="638"/>
      <c r="J4" s="638"/>
    </row>
    <row r="5" spans="1:10" ht="76.5" customHeight="1" thickBot="1" x14ac:dyDescent="0.3">
      <c r="A5" s="25"/>
      <c r="B5" s="58" t="s">
        <v>7</v>
      </c>
      <c r="C5" s="59" t="s">
        <v>8</v>
      </c>
      <c r="D5" s="59" t="s">
        <v>9</v>
      </c>
      <c r="E5" s="59" t="s">
        <v>10</v>
      </c>
      <c r="F5" s="636"/>
      <c r="G5" s="637"/>
      <c r="H5" s="59" t="s">
        <v>11</v>
      </c>
      <c r="I5" s="59" t="s">
        <v>12</v>
      </c>
      <c r="J5" s="59" t="s">
        <v>13</v>
      </c>
    </row>
    <row r="6" spans="1:10" ht="24" customHeight="1" thickTop="1" x14ac:dyDescent="0.25">
      <c r="A6" s="27" t="s">
        <v>14</v>
      </c>
      <c r="B6" s="60">
        <v>5234</v>
      </c>
      <c r="C6" s="60">
        <v>84869</v>
      </c>
      <c r="D6" s="61">
        <v>16.2</v>
      </c>
      <c r="E6" s="60">
        <v>1243</v>
      </c>
      <c r="F6" s="62">
        <v>237</v>
      </c>
      <c r="G6" s="63">
        <v>14.6</v>
      </c>
      <c r="H6" s="63">
        <v>3.8</v>
      </c>
      <c r="I6" s="63">
        <v>8.6999999999999993</v>
      </c>
      <c r="J6" s="63">
        <v>17.2</v>
      </c>
    </row>
    <row r="7" spans="1:10" ht="35.25" customHeight="1" x14ac:dyDescent="0.25">
      <c r="A7" s="31" t="s">
        <v>15</v>
      </c>
      <c r="B7" s="64" t="s">
        <v>16</v>
      </c>
      <c r="C7" s="64" t="s">
        <v>16</v>
      </c>
      <c r="D7" s="65" t="s">
        <v>16</v>
      </c>
      <c r="E7" s="32" t="s">
        <v>16</v>
      </c>
      <c r="F7" s="32" t="s">
        <v>16</v>
      </c>
      <c r="G7" s="33" t="s">
        <v>16</v>
      </c>
      <c r="H7" s="33" t="s">
        <v>16</v>
      </c>
      <c r="I7" s="33" t="s">
        <v>16</v>
      </c>
      <c r="J7" s="33" t="s">
        <v>16</v>
      </c>
    </row>
    <row r="8" spans="1:10" s="69" customFormat="1" ht="15" customHeight="1" x14ac:dyDescent="0.25">
      <c r="A8" s="66" t="s">
        <v>17</v>
      </c>
      <c r="B8" s="67">
        <v>389</v>
      </c>
      <c r="C8" s="67">
        <v>12239</v>
      </c>
      <c r="D8" s="68">
        <v>31.5</v>
      </c>
      <c r="E8" s="67">
        <v>134</v>
      </c>
      <c r="F8" s="67">
        <v>345</v>
      </c>
      <c r="G8" s="68">
        <v>11</v>
      </c>
      <c r="H8" s="68">
        <v>5.6</v>
      </c>
      <c r="I8" s="68">
        <v>9</v>
      </c>
      <c r="J8" s="68">
        <v>13.7</v>
      </c>
    </row>
    <row r="9" spans="1:10" s="69" customFormat="1" ht="15" customHeight="1" x14ac:dyDescent="0.25">
      <c r="A9" s="39" t="s">
        <v>18</v>
      </c>
      <c r="B9" s="42">
        <v>27</v>
      </c>
      <c r="C9" s="42">
        <v>1883</v>
      </c>
      <c r="D9" s="43">
        <v>69.2</v>
      </c>
      <c r="E9" s="36">
        <v>33</v>
      </c>
      <c r="F9" s="36">
        <v>1202</v>
      </c>
      <c r="G9" s="37">
        <v>17.399999999999999</v>
      </c>
      <c r="H9" s="37">
        <v>9.1999999999999993</v>
      </c>
      <c r="I9" s="37">
        <v>14.4</v>
      </c>
      <c r="J9" s="37">
        <v>20</v>
      </c>
    </row>
    <row r="10" spans="1:10" s="69" customFormat="1" ht="15" customHeight="1" x14ac:dyDescent="0.25">
      <c r="A10" s="39" t="s">
        <v>19</v>
      </c>
      <c r="B10" s="42">
        <v>232</v>
      </c>
      <c r="C10" s="42">
        <v>9175</v>
      </c>
      <c r="D10" s="43">
        <v>39.6</v>
      </c>
      <c r="E10" s="36">
        <v>89</v>
      </c>
      <c r="F10" s="36">
        <v>386</v>
      </c>
      <c r="G10" s="37">
        <v>9.8000000000000007</v>
      </c>
      <c r="H10" s="37">
        <v>5.6</v>
      </c>
      <c r="I10" s="37">
        <v>8.3000000000000007</v>
      </c>
      <c r="J10" s="37">
        <v>12.6</v>
      </c>
    </row>
    <row r="11" spans="1:10" s="69" customFormat="1" ht="15" customHeight="1" x14ac:dyDescent="0.25">
      <c r="A11" s="70" t="s">
        <v>20</v>
      </c>
      <c r="B11" s="42">
        <v>189</v>
      </c>
      <c r="C11" s="42">
        <v>6118</v>
      </c>
      <c r="D11" s="43">
        <v>32.4</v>
      </c>
      <c r="E11" s="36">
        <v>58</v>
      </c>
      <c r="F11" s="36">
        <v>306</v>
      </c>
      <c r="G11" s="37">
        <v>9.5</v>
      </c>
      <c r="H11" s="37">
        <v>5.6</v>
      </c>
      <c r="I11" s="37">
        <v>8</v>
      </c>
      <c r="J11" s="37">
        <v>11.9</v>
      </c>
    </row>
    <row r="12" spans="1:10" s="69" customFormat="1" ht="15" customHeight="1" x14ac:dyDescent="0.25">
      <c r="A12" s="70" t="s">
        <v>21</v>
      </c>
      <c r="B12" s="42">
        <v>43</v>
      </c>
      <c r="C12" s="42">
        <v>3056</v>
      </c>
      <c r="D12" s="43">
        <v>71.599999999999994</v>
      </c>
      <c r="E12" s="36">
        <v>32</v>
      </c>
      <c r="F12" s="36">
        <v>740</v>
      </c>
      <c r="G12" s="37">
        <v>10.3</v>
      </c>
      <c r="H12" s="37">
        <v>6.2</v>
      </c>
      <c r="I12" s="37">
        <v>10.5</v>
      </c>
      <c r="J12" s="37">
        <v>15.5</v>
      </c>
    </row>
    <row r="13" spans="1:10" s="69" customFormat="1" ht="15" customHeight="1" x14ac:dyDescent="0.25">
      <c r="A13" s="39" t="s">
        <v>22</v>
      </c>
      <c r="B13" s="42">
        <v>68</v>
      </c>
      <c r="C13" s="42">
        <v>431</v>
      </c>
      <c r="D13" s="43">
        <v>6.4</v>
      </c>
      <c r="E13" s="36">
        <v>6</v>
      </c>
      <c r="F13" s="36">
        <v>85</v>
      </c>
      <c r="G13" s="37">
        <v>13.3</v>
      </c>
      <c r="H13" s="37">
        <v>8</v>
      </c>
      <c r="I13" s="37">
        <v>11.6</v>
      </c>
      <c r="J13" s="37">
        <v>16.899999999999999</v>
      </c>
    </row>
    <row r="14" spans="1:10" s="69" customFormat="1" ht="15" customHeight="1" x14ac:dyDescent="0.25">
      <c r="A14" s="39" t="s">
        <v>23</v>
      </c>
      <c r="B14" s="42">
        <v>62</v>
      </c>
      <c r="C14" s="42">
        <v>750</v>
      </c>
      <c r="D14" s="43">
        <v>12.1</v>
      </c>
      <c r="E14" s="36">
        <v>6</v>
      </c>
      <c r="F14" s="36">
        <v>100</v>
      </c>
      <c r="G14" s="37">
        <v>8.1999999999999993</v>
      </c>
      <c r="H14" s="37">
        <v>2.6</v>
      </c>
      <c r="I14" s="37">
        <v>6.6</v>
      </c>
      <c r="J14" s="37">
        <v>10.7</v>
      </c>
    </row>
    <row r="15" spans="1:10" s="69" customFormat="1" ht="15" customHeight="1" x14ac:dyDescent="0.25">
      <c r="A15" s="66" t="s">
        <v>24</v>
      </c>
      <c r="B15" s="67">
        <v>177</v>
      </c>
      <c r="C15" s="67">
        <v>1252</v>
      </c>
      <c r="D15" s="68">
        <v>7.1</v>
      </c>
      <c r="E15" s="67">
        <v>61</v>
      </c>
      <c r="F15" s="67">
        <v>345</v>
      </c>
      <c r="G15" s="68">
        <v>48.7</v>
      </c>
      <c r="H15" s="68">
        <v>35</v>
      </c>
      <c r="I15" s="68">
        <v>54.8</v>
      </c>
      <c r="J15" s="68">
        <v>81.400000000000006</v>
      </c>
    </row>
    <row r="16" spans="1:10" s="69" customFormat="1" ht="15" customHeight="1" x14ac:dyDescent="0.25">
      <c r="A16" s="39" t="s">
        <v>25</v>
      </c>
      <c r="B16" s="71">
        <v>131</v>
      </c>
      <c r="C16" s="71">
        <v>470</v>
      </c>
      <c r="D16" s="72">
        <v>3.6</v>
      </c>
      <c r="E16" s="73">
        <v>27</v>
      </c>
      <c r="F16" s="73">
        <v>203</v>
      </c>
      <c r="G16" s="74">
        <v>56.4</v>
      </c>
      <c r="H16" s="74">
        <v>34.799999999999997</v>
      </c>
      <c r="I16" s="74">
        <v>63</v>
      </c>
      <c r="J16" s="74">
        <v>100</v>
      </c>
    </row>
    <row r="17" spans="1:10" s="69" customFormat="1" ht="15" customHeight="1" x14ac:dyDescent="0.25">
      <c r="A17" s="39" t="s">
        <v>26</v>
      </c>
      <c r="B17" s="75">
        <v>45</v>
      </c>
      <c r="C17" s="75">
        <v>763</v>
      </c>
      <c r="D17" s="76">
        <v>17.100000000000001</v>
      </c>
      <c r="E17" s="77">
        <v>34</v>
      </c>
      <c r="F17" s="77">
        <v>753</v>
      </c>
      <c r="G17" s="78">
        <v>44.2</v>
      </c>
      <c r="H17" s="78">
        <v>35.200000000000003</v>
      </c>
      <c r="I17" s="78">
        <v>43.6</v>
      </c>
      <c r="J17" s="78">
        <v>55.2</v>
      </c>
    </row>
    <row r="18" spans="1:10" s="69" customFormat="1" ht="15" customHeight="1" x14ac:dyDescent="0.25">
      <c r="A18" s="39" t="s">
        <v>27</v>
      </c>
      <c r="B18" s="42" t="s">
        <v>28</v>
      </c>
      <c r="C18" s="42" t="s">
        <v>28</v>
      </c>
      <c r="D18" s="43" t="s">
        <v>28</v>
      </c>
      <c r="E18" s="36" t="s">
        <v>28</v>
      </c>
      <c r="F18" s="36" t="s">
        <v>28</v>
      </c>
      <c r="G18" s="37" t="s">
        <v>28</v>
      </c>
      <c r="H18" s="37" t="s">
        <v>28</v>
      </c>
      <c r="I18" s="37" t="s">
        <v>28</v>
      </c>
      <c r="J18" s="37" t="s">
        <v>28</v>
      </c>
    </row>
    <row r="19" spans="1:10" s="69" customFormat="1" ht="15" customHeight="1" x14ac:dyDescent="0.25">
      <c r="A19" s="66" t="s">
        <v>29</v>
      </c>
      <c r="B19" s="67">
        <v>380</v>
      </c>
      <c r="C19" s="67">
        <v>1819</v>
      </c>
      <c r="D19" s="68">
        <v>4.8</v>
      </c>
      <c r="E19" s="67">
        <v>82</v>
      </c>
      <c r="F19" s="67">
        <v>215</v>
      </c>
      <c r="G19" s="68">
        <v>44.9</v>
      </c>
      <c r="H19" s="68">
        <v>18.899999999999999</v>
      </c>
      <c r="I19" s="68">
        <v>38.4</v>
      </c>
      <c r="J19" s="68">
        <v>73.2</v>
      </c>
    </row>
    <row r="20" spans="1:10" s="69" customFormat="1" ht="15" customHeight="1" x14ac:dyDescent="0.25">
      <c r="A20" s="39" t="s">
        <v>30</v>
      </c>
      <c r="B20" s="42">
        <v>92</v>
      </c>
      <c r="C20" s="42">
        <v>302</v>
      </c>
      <c r="D20" s="43">
        <v>3.3</v>
      </c>
      <c r="E20" s="36">
        <v>22</v>
      </c>
      <c r="F20" s="36">
        <v>242</v>
      </c>
      <c r="G20" s="37">
        <v>73.900000000000006</v>
      </c>
      <c r="H20" s="37">
        <v>43.5</v>
      </c>
      <c r="I20" s="37">
        <v>73.2</v>
      </c>
      <c r="J20" s="37">
        <v>117.3</v>
      </c>
    </row>
    <row r="21" spans="1:10" s="69" customFormat="1" ht="15" customHeight="1" x14ac:dyDescent="0.25">
      <c r="A21" s="39" t="s">
        <v>31</v>
      </c>
      <c r="B21" s="42">
        <v>179</v>
      </c>
      <c r="C21" s="42">
        <v>1039</v>
      </c>
      <c r="D21" s="43">
        <v>5.8</v>
      </c>
      <c r="E21" s="36">
        <v>45</v>
      </c>
      <c r="F21" s="36">
        <v>253</v>
      </c>
      <c r="G21" s="37">
        <v>43.5</v>
      </c>
      <c r="H21" s="37">
        <v>19.8</v>
      </c>
      <c r="I21" s="37">
        <v>38.6</v>
      </c>
      <c r="J21" s="37">
        <v>67.3</v>
      </c>
    </row>
    <row r="22" spans="1:10" s="69" customFormat="1" ht="15" customHeight="1" x14ac:dyDescent="0.25">
      <c r="A22" s="39" t="s">
        <v>32</v>
      </c>
      <c r="B22" s="42">
        <v>71</v>
      </c>
      <c r="C22" s="42">
        <v>350</v>
      </c>
      <c r="D22" s="43">
        <v>4.9000000000000004</v>
      </c>
      <c r="E22" s="36">
        <v>9</v>
      </c>
      <c r="F22" s="36">
        <v>129</v>
      </c>
      <c r="G22" s="37">
        <v>26.3</v>
      </c>
      <c r="H22" s="37">
        <v>11.7</v>
      </c>
      <c r="I22" s="37">
        <v>25.6</v>
      </c>
      <c r="J22" s="37">
        <v>38.299999999999997</v>
      </c>
    </row>
    <row r="23" spans="1:10" s="69" customFormat="1" ht="15" customHeight="1" x14ac:dyDescent="0.25">
      <c r="A23" s="39" t="s">
        <v>33</v>
      </c>
      <c r="B23" s="42">
        <v>37</v>
      </c>
      <c r="C23" s="42">
        <v>128</v>
      </c>
      <c r="D23" s="43">
        <v>3.4</v>
      </c>
      <c r="E23" s="36">
        <v>5</v>
      </c>
      <c r="F23" s="36">
        <v>133</v>
      </c>
      <c r="G23" s="37">
        <v>39</v>
      </c>
      <c r="H23" s="37">
        <v>8.9</v>
      </c>
      <c r="I23" s="37">
        <v>21.5</v>
      </c>
      <c r="J23" s="37">
        <v>57.4</v>
      </c>
    </row>
    <row r="24" spans="1:10" s="69" customFormat="1" ht="15" customHeight="1" x14ac:dyDescent="0.25">
      <c r="A24" s="66" t="s">
        <v>34</v>
      </c>
      <c r="B24" s="67">
        <v>157</v>
      </c>
      <c r="C24" s="67">
        <v>4155</v>
      </c>
      <c r="D24" s="68">
        <v>26.5</v>
      </c>
      <c r="E24" s="67">
        <v>107</v>
      </c>
      <c r="F24" s="67">
        <v>683</v>
      </c>
      <c r="G24" s="68">
        <v>25.8</v>
      </c>
      <c r="H24" s="68">
        <v>7</v>
      </c>
      <c r="I24" s="68">
        <v>13.1</v>
      </c>
      <c r="J24" s="68">
        <v>19.2</v>
      </c>
    </row>
    <row r="25" spans="1:10" s="69" customFormat="1" ht="15" customHeight="1" x14ac:dyDescent="0.25">
      <c r="A25" s="39" t="s">
        <v>35</v>
      </c>
      <c r="B25" s="42">
        <v>10</v>
      </c>
      <c r="C25" s="42">
        <v>2374</v>
      </c>
      <c r="D25" s="43">
        <v>247.8</v>
      </c>
      <c r="E25" s="36">
        <v>74</v>
      </c>
      <c r="F25" s="36">
        <v>7687</v>
      </c>
      <c r="G25" s="37">
        <v>31</v>
      </c>
      <c r="H25" s="37">
        <v>20.5</v>
      </c>
      <c r="I25" s="37">
        <v>32.700000000000003</v>
      </c>
      <c r="J25" s="37">
        <v>43.9</v>
      </c>
    </row>
    <row r="26" spans="1:10" s="69" customFormat="1" ht="15" customHeight="1" x14ac:dyDescent="0.25">
      <c r="A26" s="39" t="s">
        <v>36</v>
      </c>
      <c r="B26" s="42">
        <v>147</v>
      </c>
      <c r="C26" s="42">
        <v>1781</v>
      </c>
      <c r="D26" s="43">
        <v>12.1</v>
      </c>
      <c r="E26" s="36">
        <v>33</v>
      </c>
      <c r="F26" s="36">
        <v>227</v>
      </c>
      <c r="G26" s="37">
        <v>18.7</v>
      </c>
      <c r="H26" s="37">
        <v>6.3</v>
      </c>
      <c r="I26" s="37">
        <v>12.8</v>
      </c>
      <c r="J26" s="37">
        <v>19</v>
      </c>
    </row>
    <row r="27" spans="1:10" s="69" customFormat="1" ht="15" customHeight="1" x14ac:dyDescent="0.25">
      <c r="A27" s="70" t="s">
        <v>37</v>
      </c>
      <c r="B27" s="42">
        <v>60</v>
      </c>
      <c r="C27" s="42">
        <v>510</v>
      </c>
      <c r="D27" s="43">
        <v>8.5</v>
      </c>
      <c r="E27" s="36">
        <v>8</v>
      </c>
      <c r="F27" s="36">
        <v>135</v>
      </c>
      <c r="G27" s="37">
        <v>16</v>
      </c>
      <c r="H27" s="37">
        <v>4.7</v>
      </c>
      <c r="I27" s="37">
        <v>11.8</v>
      </c>
      <c r="J27" s="37">
        <v>16.7</v>
      </c>
    </row>
    <row r="28" spans="1:10" s="69" customFormat="1" ht="15" customHeight="1" x14ac:dyDescent="0.25">
      <c r="A28" s="70" t="s">
        <v>38</v>
      </c>
      <c r="B28" s="42">
        <v>87</v>
      </c>
      <c r="C28" s="42">
        <v>1271</v>
      </c>
      <c r="D28" s="43">
        <v>14.6</v>
      </c>
      <c r="E28" s="36">
        <v>25</v>
      </c>
      <c r="F28" s="36">
        <v>290</v>
      </c>
      <c r="G28" s="37">
        <v>19.8</v>
      </c>
      <c r="H28" s="37">
        <v>7</v>
      </c>
      <c r="I28" s="37">
        <v>13.2</v>
      </c>
      <c r="J28" s="37">
        <v>19</v>
      </c>
    </row>
    <row r="29" spans="1:10" s="69" customFormat="1" ht="15" customHeight="1" x14ac:dyDescent="0.25">
      <c r="A29" s="66" t="s">
        <v>39</v>
      </c>
      <c r="B29" s="67">
        <v>158</v>
      </c>
      <c r="C29" s="67">
        <v>5826</v>
      </c>
      <c r="D29" s="68">
        <v>36.9</v>
      </c>
      <c r="E29" s="67">
        <v>89</v>
      </c>
      <c r="F29" s="67">
        <v>565</v>
      </c>
      <c r="G29" s="68">
        <v>15.3</v>
      </c>
      <c r="H29" s="68">
        <v>8.4</v>
      </c>
      <c r="I29" s="68">
        <v>13.5</v>
      </c>
      <c r="J29" s="68">
        <v>19.5</v>
      </c>
    </row>
    <row r="30" spans="1:10" s="69" customFormat="1" ht="15" customHeight="1" x14ac:dyDescent="0.25">
      <c r="A30" s="39" t="s">
        <v>40</v>
      </c>
      <c r="B30" s="42">
        <v>30</v>
      </c>
      <c r="C30" s="42">
        <v>2717</v>
      </c>
      <c r="D30" s="43">
        <v>90.6</v>
      </c>
      <c r="E30" s="36">
        <v>42</v>
      </c>
      <c r="F30" s="36">
        <v>1414</v>
      </c>
      <c r="G30" s="37">
        <v>15.6</v>
      </c>
      <c r="H30" s="37">
        <v>9.4</v>
      </c>
      <c r="I30" s="37">
        <v>13.8</v>
      </c>
      <c r="J30" s="37">
        <v>18.3</v>
      </c>
    </row>
    <row r="31" spans="1:10" s="69" customFormat="1" ht="15" customHeight="1" x14ac:dyDescent="0.25">
      <c r="A31" s="39" t="s">
        <v>41</v>
      </c>
      <c r="B31" s="42">
        <v>61</v>
      </c>
      <c r="C31" s="42">
        <v>602</v>
      </c>
      <c r="D31" s="43">
        <v>9.9</v>
      </c>
      <c r="E31" s="36">
        <v>9</v>
      </c>
      <c r="F31" s="36">
        <v>141</v>
      </c>
      <c r="G31" s="37">
        <v>14.3</v>
      </c>
      <c r="H31" s="37">
        <v>12</v>
      </c>
      <c r="I31" s="37">
        <v>15</v>
      </c>
      <c r="J31" s="37">
        <v>21.1</v>
      </c>
    </row>
    <row r="32" spans="1:10" s="69" customFormat="1" ht="15" customHeight="1" x14ac:dyDescent="0.25">
      <c r="A32" s="39" t="s">
        <v>42</v>
      </c>
      <c r="B32" s="42">
        <v>25</v>
      </c>
      <c r="C32" s="42">
        <v>805</v>
      </c>
      <c r="D32" s="43">
        <v>32.700000000000003</v>
      </c>
      <c r="E32" s="36">
        <v>10</v>
      </c>
      <c r="F32" s="36">
        <v>391</v>
      </c>
      <c r="G32" s="37">
        <v>12</v>
      </c>
      <c r="H32" s="37">
        <v>5.0999999999999996</v>
      </c>
      <c r="I32" s="37">
        <v>8.1999999999999993</v>
      </c>
      <c r="J32" s="37">
        <v>13</v>
      </c>
    </row>
    <row r="33" spans="1:10" s="69" customFormat="1" ht="15" customHeight="1" x14ac:dyDescent="0.25">
      <c r="A33" s="39" t="s">
        <v>43</v>
      </c>
      <c r="B33" s="42">
        <v>30</v>
      </c>
      <c r="C33" s="42">
        <v>1275</v>
      </c>
      <c r="D33" s="43">
        <v>43.2</v>
      </c>
      <c r="E33" s="36">
        <v>23</v>
      </c>
      <c r="F33" s="36">
        <v>793</v>
      </c>
      <c r="G33" s="37">
        <v>18.399999999999999</v>
      </c>
      <c r="H33" s="37">
        <v>10.8</v>
      </c>
      <c r="I33" s="37">
        <v>17.399999999999999</v>
      </c>
      <c r="J33" s="37">
        <v>27.5</v>
      </c>
    </row>
    <row r="34" spans="1:10" s="69" customFormat="1" ht="15" customHeight="1" x14ac:dyDescent="0.25">
      <c r="A34" s="39" t="s">
        <v>44</v>
      </c>
      <c r="B34" s="42">
        <v>13</v>
      </c>
      <c r="C34" s="42">
        <v>426</v>
      </c>
      <c r="D34" s="43">
        <v>33.200000000000003</v>
      </c>
      <c r="E34" s="36">
        <v>5</v>
      </c>
      <c r="F34" s="36">
        <v>398</v>
      </c>
      <c r="G34" s="37">
        <v>12</v>
      </c>
      <c r="H34" s="37">
        <v>3</v>
      </c>
      <c r="I34" s="37">
        <v>8.5</v>
      </c>
      <c r="J34" s="37">
        <v>14.8</v>
      </c>
    </row>
    <row r="35" spans="1:10" s="69" customFormat="1" ht="15" customHeight="1" x14ac:dyDescent="0.25">
      <c r="A35" s="79" t="s">
        <v>45</v>
      </c>
      <c r="B35" s="80">
        <v>599</v>
      </c>
      <c r="C35" s="80">
        <v>11320</v>
      </c>
      <c r="D35" s="81">
        <v>18.899999999999999</v>
      </c>
      <c r="E35" s="80">
        <v>207</v>
      </c>
      <c r="F35" s="80">
        <v>345</v>
      </c>
      <c r="G35" s="81">
        <v>18.3</v>
      </c>
      <c r="H35" s="81">
        <v>6.2</v>
      </c>
      <c r="I35" s="81">
        <v>13</v>
      </c>
      <c r="J35" s="81">
        <v>21.8</v>
      </c>
    </row>
    <row r="36" spans="1:10" s="69" customFormat="1" ht="15" customHeight="1" x14ac:dyDescent="0.25">
      <c r="A36" s="39" t="s">
        <v>46</v>
      </c>
      <c r="B36" s="42">
        <v>435</v>
      </c>
      <c r="C36" s="42">
        <v>5430</v>
      </c>
      <c r="D36" s="43">
        <v>12.5</v>
      </c>
      <c r="E36" s="36">
        <v>82</v>
      </c>
      <c r="F36" s="36">
        <v>189</v>
      </c>
      <c r="G36" s="37">
        <v>15.2</v>
      </c>
      <c r="H36" s="37">
        <v>4.9000000000000004</v>
      </c>
      <c r="I36" s="37">
        <v>9.6999999999999993</v>
      </c>
      <c r="J36" s="37">
        <v>18.8</v>
      </c>
    </row>
    <row r="37" spans="1:10" s="69" customFormat="1" ht="15" customHeight="1" x14ac:dyDescent="0.25">
      <c r="A37" s="70" t="s">
        <v>47</v>
      </c>
      <c r="B37" s="42">
        <v>333</v>
      </c>
      <c r="C37" s="42">
        <v>4495</v>
      </c>
      <c r="D37" s="43">
        <v>13.5</v>
      </c>
      <c r="E37" s="36">
        <v>69</v>
      </c>
      <c r="F37" s="36">
        <v>208</v>
      </c>
      <c r="G37" s="37">
        <v>15.4</v>
      </c>
      <c r="H37" s="37">
        <v>4.3</v>
      </c>
      <c r="I37" s="37">
        <v>9.4</v>
      </c>
      <c r="J37" s="37">
        <v>17.7</v>
      </c>
    </row>
    <row r="38" spans="1:10" s="69" customFormat="1" ht="15" customHeight="1" x14ac:dyDescent="0.25">
      <c r="A38" s="70" t="s">
        <v>48</v>
      </c>
      <c r="B38" s="42">
        <v>43</v>
      </c>
      <c r="C38" s="42">
        <v>559</v>
      </c>
      <c r="D38" s="43">
        <v>13</v>
      </c>
      <c r="E38" s="36">
        <v>8</v>
      </c>
      <c r="F38" s="36">
        <v>182</v>
      </c>
      <c r="G38" s="37">
        <v>14</v>
      </c>
      <c r="H38" s="37">
        <v>5.4</v>
      </c>
      <c r="I38" s="37">
        <v>9</v>
      </c>
      <c r="J38" s="37">
        <v>21.5</v>
      </c>
    </row>
    <row r="39" spans="1:10" s="69" customFormat="1" ht="15" customHeight="1" x14ac:dyDescent="0.25">
      <c r="A39" s="70" t="s">
        <v>49</v>
      </c>
      <c r="B39" s="42">
        <v>59</v>
      </c>
      <c r="C39" s="42">
        <v>376</v>
      </c>
      <c r="D39" s="43">
        <v>6.4</v>
      </c>
      <c r="E39" s="36">
        <v>5</v>
      </c>
      <c r="F39" s="36">
        <v>92</v>
      </c>
      <c r="G39" s="37">
        <v>14.4</v>
      </c>
      <c r="H39" s="37">
        <v>6.5</v>
      </c>
      <c r="I39" s="37">
        <v>14</v>
      </c>
      <c r="J39" s="37">
        <v>22.9</v>
      </c>
    </row>
    <row r="40" spans="1:10" s="69" customFormat="1" ht="15" customHeight="1" x14ac:dyDescent="0.25">
      <c r="A40" s="39" t="s">
        <v>50</v>
      </c>
      <c r="B40" s="42">
        <v>164</v>
      </c>
      <c r="C40" s="42">
        <v>5890</v>
      </c>
      <c r="D40" s="43">
        <v>35.9</v>
      </c>
      <c r="E40" s="36">
        <v>124</v>
      </c>
      <c r="F40" s="36">
        <v>757</v>
      </c>
      <c r="G40" s="37">
        <v>21.1</v>
      </c>
      <c r="H40" s="37">
        <v>13.8</v>
      </c>
      <c r="I40" s="37">
        <v>19.5</v>
      </c>
      <c r="J40" s="37">
        <v>27.8</v>
      </c>
    </row>
    <row r="41" spans="1:10" s="69" customFormat="1" ht="15" customHeight="1" x14ac:dyDescent="0.25">
      <c r="A41" s="70" t="s">
        <v>51</v>
      </c>
      <c r="B41" s="42">
        <v>163</v>
      </c>
      <c r="C41" s="42">
        <v>5087</v>
      </c>
      <c r="D41" s="43">
        <v>31.3</v>
      </c>
      <c r="E41" s="36">
        <v>110</v>
      </c>
      <c r="F41" s="36">
        <v>678</v>
      </c>
      <c r="G41" s="37">
        <v>21.7</v>
      </c>
      <c r="H41" s="37">
        <v>13.8</v>
      </c>
      <c r="I41" s="37">
        <v>19.5</v>
      </c>
      <c r="J41" s="37">
        <v>28.1</v>
      </c>
    </row>
    <row r="42" spans="1:10" s="69" customFormat="1" ht="15" customHeight="1" x14ac:dyDescent="0.25">
      <c r="A42" s="70" t="s">
        <v>52</v>
      </c>
      <c r="B42" s="42">
        <v>1</v>
      </c>
      <c r="C42" s="42">
        <v>803</v>
      </c>
      <c r="D42" s="43">
        <v>582.79999999999995</v>
      </c>
      <c r="E42" s="36">
        <v>14</v>
      </c>
      <c r="F42" s="36">
        <v>10135</v>
      </c>
      <c r="G42" s="37">
        <v>17.399999999999999</v>
      </c>
      <c r="H42" s="37">
        <v>11.4</v>
      </c>
      <c r="I42" s="37">
        <v>17.8</v>
      </c>
      <c r="J42" s="37">
        <v>20.2</v>
      </c>
    </row>
    <row r="43" spans="1:10" s="69" customFormat="1" ht="15" customHeight="1" x14ac:dyDescent="0.25">
      <c r="A43" s="66" t="s">
        <v>53</v>
      </c>
      <c r="B43" s="67">
        <v>1012</v>
      </c>
      <c r="C43" s="67">
        <v>15952</v>
      </c>
      <c r="D43" s="68">
        <v>15.8</v>
      </c>
      <c r="E43" s="67">
        <v>253</v>
      </c>
      <c r="F43" s="67">
        <v>250</v>
      </c>
      <c r="G43" s="68">
        <v>15.9</v>
      </c>
      <c r="H43" s="68">
        <v>6</v>
      </c>
      <c r="I43" s="68">
        <v>9.9</v>
      </c>
      <c r="J43" s="68">
        <v>15.8</v>
      </c>
    </row>
    <row r="44" spans="1:10" s="69" customFormat="1" ht="15" customHeight="1" x14ac:dyDescent="0.25">
      <c r="A44" s="39" t="s">
        <v>54</v>
      </c>
      <c r="B44" s="42">
        <v>558</v>
      </c>
      <c r="C44" s="42">
        <v>8937</v>
      </c>
      <c r="D44" s="43">
        <v>16</v>
      </c>
      <c r="E44" s="36">
        <v>151</v>
      </c>
      <c r="F44" s="36">
        <v>271</v>
      </c>
      <c r="G44" s="37">
        <v>16.899999999999999</v>
      </c>
      <c r="H44" s="37">
        <v>5.5</v>
      </c>
      <c r="I44" s="37">
        <v>9.6</v>
      </c>
      <c r="J44" s="37">
        <v>15.3</v>
      </c>
    </row>
    <row r="45" spans="1:10" s="69" customFormat="1" ht="15" customHeight="1" x14ac:dyDescent="0.25">
      <c r="A45" s="39" t="s">
        <v>55</v>
      </c>
      <c r="B45" s="42">
        <v>91</v>
      </c>
      <c r="C45" s="42">
        <v>920</v>
      </c>
      <c r="D45" s="43">
        <v>10.1</v>
      </c>
      <c r="E45" s="36">
        <v>18</v>
      </c>
      <c r="F45" s="36">
        <v>195</v>
      </c>
      <c r="G45" s="37">
        <v>19.3</v>
      </c>
      <c r="H45" s="37">
        <v>11.1</v>
      </c>
      <c r="I45" s="37">
        <v>19.600000000000001</v>
      </c>
      <c r="J45" s="37">
        <v>24.7</v>
      </c>
    </row>
    <row r="46" spans="1:10" s="69" customFormat="1" ht="15" customHeight="1" x14ac:dyDescent="0.25">
      <c r="A46" s="39" t="s">
        <v>56</v>
      </c>
      <c r="B46" s="42">
        <v>113</v>
      </c>
      <c r="C46" s="42">
        <v>2655</v>
      </c>
      <c r="D46" s="43">
        <v>23.4</v>
      </c>
      <c r="E46" s="36">
        <v>38</v>
      </c>
      <c r="F46" s="36">
        <v>336</v>
      </c>
      <c r="G46" s="37">
        <v>14.3</v>
      </c>
      <c r="H46" s="37">
        <v>7.9</v>
      </c>
      <c r="I46" s="37">
        <v>11.9</v>
      </c>
      <c r="J46" s="37">
        <v>17.100000000000001</v>
      </c>
    </row>
    <row r="47" spans="1:10" s="69" customFormat="1" ht="15" customHeight="1" x14ac:dyDescent="0.25">
      <c r="A47" s="39" t="s">
        <v>57</v>
      </c>
      <c r="B47" s="42">
        <v>50</v>
      </c>
      <c r="C47" s="42">
        <v>302</v>
      </c>
      <c r="D47" s="43">
        <v>6</v>
      </c>
      <c r="E47" s="36">
        <v>4</v>
      </c>
      <c r="F47" s="36">
        <v>73</v>
      </c>
      <c r="G47" s="37">
        <v>12.1</v>
      </c>
      <c r="H47" s="37">
        <v>6.7</v>
      </c>
      <c r="I47" s="37">
        <v>8.8000000000000007</v>
      </c>
      <c r="J47" s="37">
        <v>14.3</v>
      </c>
    </row>
    <row r="48" spans="1:10" s="69" customFormat="1" ht="15" customHeight="1" x14ac:dyDescent="0.25">
      <c r="A48" s="39" t="s">
        <v>58</v>
      </c>
      <c r="B48" s="64">
        <v>125</v>
      </c>
      <c r="C48" s="64">
        <v>2656</v>
      </c>
      <c r="D48" s="65">
        <v>21.2</v>
      </c>
      <c r="E48" s="82">
        <v>36</v>
      </c>
      <c r="F48" s="82">
        <v>290</v>
      </c>
      <c r="G48" s="83">
        <v>13.7</v>
      </c>
      <c r="H48" s="83">
        <v>4.5</v>
      </c>
      <c r="I48" s="83">
        <v>8.6</v>
      </c>
      <c r="J48" s="83">
        <v>13.4</v>
      </c>
    </row>
    <row r="49" spans="1:10" s="69" customFormat="1" ht="15" customHeight="1" x14ac:dyDescent="0.25">
      <c r="A49" s="39" t="s">
        <v>59</v>
      </c>
      <c r="B49" s="42">
        <v>74</v>
      </c>
      <c r="C49" s="42">
        <v>482</v>
      </c>
      <c r="D49" s="43">
        <v>6.5</v>
      </c>
      <c r="E49" s="36">
        <v>6</v>
      </c>
      <c r="F49" s="36">
        <v>86</v>
      </c>
      <c r="G49" s="37">
        <v>13.2</v>
      </c>
      <c r="H49" s="37">
        <v>4</v>
      </c>
      <c r="I49" s="37">
        <v>7.4</v>
      </c>
      <c r="J49" s="37">
        <v>9.6999999999999993</v>
      </c>
    </row>
    <row r="50" spans="1:10" s="69" customFormat="1" ht="15" customHeight="1" x14ac:dyDescent="0.25">
      <c r="A50" s="66" t="s">
        <v>60</v>
      </c>
      <c r="B50" s="67">
        <v>352</v>
      </c>
      <c r="C50" s="67">
        <v>5559</v>
      </c>
      <c r="D50" s="68">
        <v>15.8</v>
      </c>
      <c r="E50" s="67">
        <v>80</v>
      </c>
      <c r="F50" s="67">
        <v>229</v>
      </c>
      <c r="G50" s="68">
        <v>14.5</v>
      </c>
      <c r="H50" s="68">
        <v>3.5</v>
      </c>
      <c r="I50" s="68">
        <v>7.7</v>
      </c>
      <c r="J50" s="68">
        <v>14.6</v>
      </c>
    </row>
    <row r="51" spans="1:10" s="69" customFormat="1" ht="15" customHeight="1" x14ac:dyDescent="0.25">
      <c r="A51" s="39" t="s">
        <v>61</v>
      </c>
      <c r="B51" s="42">
        <v>24</v>
      </c>
      <c r="C51" s="42">
        <v>761</v>
      </c>
      <c r="D51" s="43">
        <v>32</v>
      </c>
      <c r="E51" s="36">
        <v>12</v>
      </c>
      <c r="F51" s="36">
        <v>488</v>
      </c>
      <c r="G51" s="37">
        <v>15.2</v>
      </c>
      <c r="H51" s="37">
        <v>10.7</v>
      </c>
      <c r="I51" s="37">
        <v>14.3</v>
      </c>
      <c r="J51" s="37">
        <v>15.6</v>
      </c>
    </row>
    <row r="52" spans="1:10" s="69" customFormat="1" ht="15" customHeight="1" x14ac:dyDescent="0.25">
      <c r="A52" s="39" t="s">
        <v>62</v>
      </c>
      <c r="B52" s="42">
        <v>51</v>
      </c>
      <c r="C52" s="42">
        <v>1266</v>
      </c>
      <c r="D52" s="43">
        <v>24.7</v>
      </c>
      <c r="E52" s="36">
        <v>20</v>
      </c>
      <c r="F52" s="36">
        <v>395</v>
      </c>
      <c r="G52" s="37">
        <v>16</v>
      </c>
      <c r="H52" s="37">
        <v>1.8</v>
      </c>
      <c r="I52" s="37">
        <v>6.6</v>
      </c>
      <c r="J52" s="37">
        <v>13.5</v>
      </c>
    </row>
    <row r="53" spans="1:10" s="69" customFormat="1" ht="15" customHeight="1" x14ac:dyDescent="0.25">
      <c r="A53" s="39" t="s">
        <v>63</v>
      </c>
      <c r="B53" s="42">
        <v>100</v>
      </c>
      <c r="C53" s="42">
        <v>1898</v>
      </c>
      <c r="D53" s="43">
        <v>18.899999999999999</v>
      </c>
      <c r="E53" s="36">
        <v>25</v>
      </c>
      <c r="F53" s="36">
        <v>248</v>
      </c>
      <c r="G53" s="37">
        <v>13.1</v>
      </c>
      <c r="H53" s="37">
        <v>3.7</v>
      </c>
      <c r="I53" s="37">
        <v>7.3</v>
      </c>
      <c r="J53" s="37">
        <v>17.600000000000001</v>
      </c>
    </row>
    <row r="54" spans="1:10" s="69" customFormat="1" ht="15" customHeight="1" x14ac:dyDescent="0.25">
      <c r="A54" s="39" t="s">
        <v>64</v>
      </c>
      <c r="B54" s="42">
        <v>135</v>
      </c>
      <c r="C54" s="42">
        <v>948</v>
      </c>
      <c r="D54" s="43">
        <v>7</v>
      </c>
      <c r="E54" s="36">
        <v>10</v>
      </c>
      <c r="F54" s="36">
        <v>72</v>
      </c>
      <c r="G54" s="37">
        <v>10.199999999999999</v>
      </c>
      <c r="H54" s="37">
        <v>3</v>
      </c>
      <c r="I54" s="37">
        <v>6.5</v>
      </c>
      <c r="J54" s="37">
        <v>11.2</v>
      </c>
    </row>
    <row r="55" spans="1:10" s="69" customFormat="1" ht="15" customHeight="1" x14ac:dyDescent="0.25">
      <c r="A55" s="39" t="s">
        <v>65</v>
      </c>
      <c r="B55" s="42">
        <v>41</v>
      </c>
      <c r="C55" s="42">
        <v>685</v>
      </c>
      <c r="D55" s="43">
        <v>16.600000000000001</v>
      </c>
      <c r="E55" s="36">
        <v>14</v>
      </c>
      <c r="F55" s="36">
        <v>340</v>
      </c>
      <c r="G55" s="37">
        <v>20.5</v>
      </c>
      <c r="H55" s="37">
        <v>4.7</v>
      </c>
      <c r="I55" s="37">
        <v>7.1</v>
      </c>
      <c r="J55" s="37">
        <v>12.6</v>
      </c>
    </row>
    <row r="56" spans="1:10" s="69" customFormat="1" ht="15" customHeight="1" x14ac:dyDescent="0.25">
      <c r="A56" s="66" t="s">
        <v>66</v>
      </c>
      <c r="B56" s="67">
        <v>84</v>
      </c>
      <c r="C56" s="67">
        <v>1440</v>
      </c>
      <c r="D56" s="68">
        <v>17.2</v>
      </c>
      <c r="E56" s="67">
        <v>21</v>
      </c>
      <c r="F56" s="67">
        <v>255</v>
      </c>
      <c r="G56" s="68">
        <v>14.9</v>
      </c>
      <c r="H56" s="68">
        <v>3.9</v>
      </c>
      <c r="I56" s="68">
        <v>9.1</v>
      </c>
      <c r="J56" s="68">
        <v>16.2</v>
      </c>
    </row>
    <row r="57" spans="1:10" s="69" customFormat="1" ht="15" customHeight="1" x14ac:dyDescent="0.25">
      <c r="A57" s="39" t="s">
        <v>67</v>
      </c>
      <c r="B57" s="42">
        <v>69</v>
      </c>
      <c r="C57" s="42">
        <v>572</v>
      </c>
      <c r="D57" s="43">
        <v>8.3000000000000007</v>
      </c>
      <c r="E57" s="36">
        <v>7</v>
      </c>
      <c r="F57" s="36">
        <v>98</v>
      </c>
      <c r="G57" s="37">
        <v>11.8</v>
      </c>
      <c r="H57" s="37">
        <v>3.8</v>
      </c>
      <c r="I57" s="37">
        <v>7.6</v>
      </c>
      <c r="J57" s="37">
        <v>14.7</v>
      </c>
    </row>
    <row r="58" spans="1:10" s="69" customFormat="1" ht="15" customHeight="1" x14ac:dyDescent="0.25">
      <c r="A58" s="39" t="s">
        <v>68</v>
      </c>
      <c r="B58" s="42">
        <v>6</v>
      </c>
      <c r="C58" s="42">
        <v>436</v>
      </c>
      <c r="D58" s="43">
        <v>69.400000000000006</v>
      </c>
      <c r="E58" s="36">
        <v>7</v>
      </c>
      <c r="F58" s="36">
        <v>1059</v>
      </c>
      <c r="G58" s="37">
        <v>15.3</v>
      </c>
      <c r="H58" s="37">
        <v>13.2</v>
      </c>
      <c r="I58" s="37">
        <v>15.9</v>
      </c>
      <c r="J58" s="37">
        <v>19.2</v>
      </c>
    </row>
    <row r="59" spans="1:10" s="69" customFormat="1" ht="15" customHeight="1" x14ac:dyDescent="0.25">
      <c r="A59" s="39" t="s">
        <v>69</v>
      </c>
      <c r="B59" s="42">
        <v>9</v>
      </c>
      <c r="C59" s="42">
        <v>432</v>
      </c>
      <c r="D59" s="43">
        <v>49.9</v>
      </c>
      <c r="E59" s="36">
        <v>8</v>
      </c>
      <c r="F59" s="36">
        <v>927</v>
      </c>
      <c r="G59" s="37">
        <v>18.600000000000001</v>
      </c>
      <c r="H59" s="37">
        <v>15.6</v>
      </c>
      <c r="I59" s="37">
        <v>26.6</v>
      </c>
      <c r="J59" s="37">
        <v>34.4</v>
      </c>
    </row>
    <row r="60" spans="1:10" s="69" customFormat="1" ht="15" customHeight="1" x14ac:dyDescent="0.25">
      <c r="A60" s="84" t="s">
        <v>70</v>
      </c>
      <c r="B60" s="67">
        <v>412</v>
      </c>
      <c r="C60" s="67">
        <v>4557</v>
      </c>
      <c r="D60" s="68">
        <v>11.1</v>
      </c>
      <c r="E60" s="67">
        <v>24</v>
      </c>
      <c r="F60" s="67">
        <v>58</v>
      </c>
      <c r="G60" s="68">
        <v>5.2</v>
      </c>
      <c r="H60" s="68">
        <v>2.2000000000000002</v>
      </c>
      <c r="I60" s="68">
        <v>3.5</v>
      </c>
      <c r="J60" s="68">
        <v>5.7</v>
      </c>
    </row>
    <row r="61" spans="1:10" s="69" customFormat="1" ht="15" customHeight="1" x14ac:dyDescent="0.25">
      <c r="A61" s="84" t="s">
        <v>71</v>
      </c>
      <c r="B61" s="67">
        <v>602</v>
      </c>
      <c r="C61" s="67">
        <v>4512</v>
      </c>
      <c r="D61" s="68">
        <v>7.5</v>
      </c>
      <c r="E61" s="67">
        <v>37</v>
      </c>
      <c r="F61" s="67">
        <v>62</v>
      </c>
      <c r="G61" s="68">
        <v>8.3000000000000007</v>
      </c>
      <c r="H61" s="68">
        <v>3.4</v>
      </c>
      <c r="I61" s="68">
        <v>6.5</v>
      </c>
      <c r="J61" s="68">
        <v>12</v>
      </c>
    </row>
    <row r="62" spans="1:10" s="69" customFormat="1" ht="15" customHeight="1" x14ac:dyDescent="0.25">
      <c r="A62" s="39" t="s">
        <v>72</v>
      </c>
      <c r="B62" s="71">
        <v>30</v>
      </c>
      <c r="C62" s="71">
        <v>446</v>
      </c>
      <c r="D62" s="72">
        <v>14.7</v>
      </c>
      <c r="E62" s="73">
        <v>4</v>
      </c>
      <c r="F62" s="73">
        <v>136</v>
      </c>
      <c r="G62" s="74">
        <v>9.1999999999999993</v>
      </c>
      <c r="H62" s="74">
        <v>7.4</v>
      </c>
      <c r="I62" s="74">
        <v>10.3</v>
      </c>
      <c r="J62" s="74">
        <v>13.1</v>
      </c>
    </row>
    <row r="63" spans="1:10" s="69" customFormat="1" ht="15" customHeight="1" x14ac:dyDescent="0.25">
      <c r="A63" s="39" t="s">
        <v>73</v>
      </c>
      <c r="B63" s="75">
        <v>84</v>
      </c>
      <c r="C63" s="75">
        <v>535</v>
      </c>
      <c r="D63" s="76">
        <v>6.3</v>
      </c>
      <c r="E63" s="77">
        <v>4</v>
      </c>
      <c r="F63" s="77">
        <v>44</v>
      </c>
      <c r="G63" s="78">
        <v>7</v>
      </c>
      <c r="H63" s="78">
        <v>3.1</v>
      </c>
      <c r="I63" s="78">
        <v>5.2</v>
      </c>
      <c r="J63" s="78">
        <v>10.199999999999999</v>
      </c>
    </row>
    <row r="64" spans="1:10" s="69" customFormat="1" ht="15" customHeight="1" x14ac:dyDescent="0.25">
      <c r="A64" s="39" t="s">
        <v>74</v>
      </c>
      <c r="B64" s="42">
        <v>214</v>
      </c>
      <c r="C64" s="42">
        <v>1653</v>
      </c>
      <c r="D64" s="43">
        <v>7.7</v>
      </c>
      <c r="E64" s="36">
        <v>14</v>
      </c>
      <c r="F64" s="36">
        <v>67</v>
      </c>
      <c r="G64" s="37">
        <v>8.6999999999999993</v>
      </c>
      <c r="H64" s="37">
        <v>4.5</v>
      </c>
      <c r="I64" s="37">
        <v>7.5</v>
      </c>
      <c r="J64" s="37">
        <v>11.7</v>
      </c>
    </row>
    <row r="65" spans="1:10" s="69" customFormat="1" ht="15" customHeight="1" x14ac:dyDescent="0.25">
      <c r="A65" s="39" t="s">
        <v>75</v>
      </c>
      <c r="B65" s="42">
        <v>159</v>
      </c>
      <c r="C65" s="42">
        <v>1193</v>
      </c>
      <c r="D65" s="43">
        <v>7.5</v>
      </c>
      <c r="E65" s="36">
        <v>9</v>
      </c>
      <c r="F65" s="36">
        <v>54</v>
      </c>
      <c r="G65" s="37">
        <v>7.2</v>
      </c>
      <c r="H65" s="37">
        <v>2</v>
      </c>
      <c r="I65" s="37">
        <v>5</v>
      </c>
      <c r="J65" s="37">
        <v>8.9</v>
      </c>
    </row>
    <row r="66" spans="1:10" s="69" customFormat="1" ht="15" customHeight="1" x14ac:dyDescent="0.25">
      <c r="A66" s="39" t="s">
        <v>76</v>
      </c>
      <c r="B66" s="42">
        <v>114</v>
      </c>
      <c r="C66" s="42">
        <v>685</v>
      </c>
      <c r="D66" s="43">
        <v>6</v>
      </c>
      <c r="E66" s="36">
        <v>7</v>
      </c>
      <c r="F66" s="36">
        <v>58</v>
      </c>
      <c r="G66" s="37">
        <v>9.6</v>
      </c>
      <c r="H66" s="37">
        <v>4.2</v>
      </c>
      <c r="I66" s="37">
        <v>7.5</v>
      </c>
      <c r="J66" s="37">
        <v>15.2</v>
      </c>
    </row>
    <row r="67" spans="1:10" s="69" customFormat="1" ht="15" customHeight="1" x14ac:dyDescent="0.25">
      <c r="A67" s="84" t="s">
        <v>77</v>
      </c>
      <c r="B67" s="67">
        <v>675</v>
      </c>
      <c r="C67" s="67">
        <v>12568</v>
      </c>
      <c r="D67" s="68">
        <v>18.600000000000001</v>
      </c>
      <c r="E67" s="67">
        <v>83</v>
      </c>
      <c r="F67" s="67">
        <v>123</v>
      </c>
      <c r="G67" s="68">
        <v>6.6</v>
      </c>
      <c r="H67" s="68">
        <v>1.6</v>
      </c>
      <c r="I67" s="68">
        <v>3.7</v>
      </c>
      <c r="J67" s="68">
        <v>7.5</v>
      </c>
    </row>
    <row r="68" spans="1:10" s="69" customFormat="1" ht="15" customHeight="1" x14ac:dyDescent="0.25">
      <c r="A68" s="39" t="s">
        <v>78</v>
      </c>
      <c r="B68" s="71">
        <v>666</v>
      </c>
      <c r="C68" s="71">
        <v>12125</v>
      </c>
      <c r="D68" s="72">
        <v>18.2</v>
      </c>
      <c r="E68" s="73">
        <v>71</v>
      </c>
      <c r="F68" s="73">
        <v>106</v>
      </c>
      <c r="G68" s="74">
        <v>5.8</v>
      </c>
      <c r="H68" s="74">
        <v>1.6</v>
      </c>
      <c r="I68" s="74">
        <v>3.7</v>
      </c>
      <c r="J68" s="74">
        <v>7.3</v>
      </c>
    </row>
    <row r="69" spans="1:10" s="69" customFormat="1" ht="15" customHeight="1" x14ac:dyDescent="0.25">
      <c r="A69" s="70" t="s">
        <v>79</v>
      </c>
      <c r="B69" s="75">
        <v>380</v>
      </c>
      <c r="C69" s="75">
        <v>5194</v>
      </c>
      <c r="D69" s="76">
        <v>13.7</v>
      </c>
      <c r="E69" s="77">
        <v>34</v>
      </c>
      <c r="F69" s="77">
        <v>90</v>
      </c>
      <c r="G69" s="78">
        <v>6.6</v>
      </c>
      <c r="H69" s="78">
        <v>1.4</v>
      </c>
      <c r="I69" s="78">
        <v>3.6</v>
      </c>
      <c r="J69" s="78">
        <v>6.7</v>
      </c>
    </row>
    <row r="70" spans="1:10" s="69" customFormat="1" ht="15" customHeight="1" x14ac:dyDescent="0.25">
      <c r="A70" s="70" t="s">
        <v>80</v>
      </c>
      <c r="B70" s="42">
        <v>151</v>
      </c>
      <c r="C70" s="42">
        <v>5688</v>
      </c>
      <c r="D70" s="43">
        <v>37.6</v>
      </c>
      <c r="E70" s="36">
        <v>31</v>
      </c>
      <c r="F70" s="36">
        <v>202</v>
      </c>
      <c r="G70" s="37">
        <v>5.4</v>
      </c>
      <c r="H70" s="37">
        <v>2.2999999999999998</v>
      </c>
      <c r="I70" s="37">
        <v>5</v>
      </c>
      <c r="J70" s="37">
        <v>8.5</v>
      </c>
    </row>
    <row r="71" spans="1:10" s="69" customFormat="1" ht="15" customHeight="1" x14ac:dyDescent="0.25">
      <c r="A71" s="70" t="s">
        <v>81</v>
      </c>
      <c r="B71" s="42">
        <v>135</v>
      </c>
      <c r="C71" s="42">
        <v>1244</v>
      </c>
      <c r="D71" s="43">
        <v>9.1999999999999993</v>
      </c>
      <c r="E71" s="36">
        <v>6</v>
      </c>
      <c r="F71" s="36">
        <v>42</v>
      </c>
      <c r="G71" s="37">
        <v>4.5999999999999996</v>
      </c>
      <c r="H71" s="37">
        <v>1.1000000000000001</v>
      </c>
      <c r="I71" s="37">
        <v>3.2</v>
      </c>
      <c r="J71" s="37">
        <v>8.6999999999999993</v>
      </c>
    </row>
    <row r="72" spans="1:10" s="69" customFormat="1" ht="15" customHeight="1" x14ac:dyDescent="0.25">
      <c r="A72" s="39" t="s">
        <v>82</v>
      </c>
      <c r="B72" s="42">
        <v>8</v>
      </c>
      <c r="C72" s="42">
        <v>443</v>
      </c>
      <c r="D72" s="43">
        <v>52.1</v>
      </c>
      <c r="E72" s="36">
        <v>13</v>
      </c>
      <c r="F72" s="36">
        <v>1498</v>
      </c>
      <c r="G72" s="37">
        <v>28.8</v>
      </c>
      <c r="H72" s="37">
        <v>10.5</v>
      </c>
      <c r="I72" s="37">
        <v>25.2</v>
      </c>
      <c r="J72" s="37">
        <v>46.1</v>
      </c>
    </row>
    <row r="73" spans="1:10" s="69" customFormat="1" ht="15" customHeight="1" x14ac:dyDescent="0.25">
      <c r="A73" s="84" t="s">
        <v>83</v>
      </c>
      <c r="B73" s="67">
        <v>123</v>
      </c>
      <c r="C73" s="67">
        <v>1972</v>
      </c>
      <c r="D73" s="68">
        <v>16.100000000000001</v>
      </c>
      <c r="E73" s="67">
        <v>56</v>
      </c>
      <c r="F73" s="67">
        <v>455</v>
      </c>
      <c r="G73" s="68">
        <v>28.3</v>
      </c>
      <c r="H73" s="68">
        <v>2.6</v>
      </c>
      <c r="I73" s="68">
        <v>6.6</v>
      </c>
      <c r="J73" s="68">
        <v>25.1</v>
      </c>
    </row>
    <row r="74" spans="1:10" s="69" customFormat="1" ht="15" customHeight="1" x14ac:dyDescent="0.25">
      <c r="A74" s="39" t="s">
        <v>84</v>
      </c>
      <c r="B74" s="71">
        <v>16</v>
      </c>
      <c r="C74" s="71">
        <v>467</v>
      </c>
      <c r="D74" s="72">
        <v>30.1</v>
      </c>
      <c r="E74" s="73">
        <v>19</v>
      </c>
      <c r="F74" s="73">
        <v>1228</v>
      </c>
      <c r="G74" s="74">
        <v>40.799999999999997</v>
      </c>
      <c r="H74" s="74">
        <v>13.8</v>
      </c>
      <c r="I74" s="74">
        <v>32</v>
      </c>
      <c r="J74" s="74">
        <v>39.700000000000003</v>
      </c>
    </row>
    <row r="75" spans="1:10" s="69" customFormat="1" ht="15" customHeight="1" x14ac:dyDescent="0.25">
      <c r="A75" s="39" t="s">
        <v>83</v>
      </c>
      <c r="B75" s="75">
        <v>107</v>
      </c>
      <c r="C75" s="75">
        <v>1505</v>
      </c>
      <c r="D75" s="76">
        <v>14</v>
      </c>
      <c r="E75" s="77">
        <v>37</v>
      </c>
      <c r="F75" s="77">
        <v>344</v>
      </c>
      <c r="G75" s="78">
        <v>24.5</v>
      </c>
      <c r="H75" s="78">
        <v>2.1</v>
      </c>
      <c r="I75" s="78">
        <v>4.8</v>
      </c>
      <c r="J75" s="78">
        <v>16.7</v>
      </c>
    </row>
    <row r="76" spans="1:10" s="69" customFormat="1" ht="15" customHeight="1" x14ac:dyDescent="0.25">
      <c r="A76" s="84" t="s">
        <v>85</v>
      </c>
      <c r="B76" s="67">
        <v>116</v>
      </c>
      <c r="C76" s="67">
        <v>1699</v>
      </c>
      <c r="D76" s="68">
        <v>14.6</v>
      </c>
      <c r="E76" s="67">
        <v>8</v>
      </c>
      <c r="F76" s="67">
        <v>66</v>
      </c>
      <c r="G76" s="68">
        <v>4.5</v>
      </c>
      <c r="H76" s="68">
        <v>0.8</v>
      </c>
      <c r="I76" s="68">
        <v>1.6</v>
      </c>
      <c r="J76" s="68">
        <v>3.6</v>
      </c>
    </row>
    <row r="77" spans="1:10" ht="15" customHeight="1" thickBot="1" x14ac:dyDescent="0.3">
      <c r="A77" s="85"/>
      <c r="B77" s="85"/>
      <c r="C77" s="85"/>
      <c r="D77" s="85"/>
      <c r="E77" s="263"/>
      <c r="F77" s="263"/>
      <c r="G77" s="263"/>
      <c r="H77" s="263"/>
      <c r="I77" s="263"/>
      <c r="J77" s="263"/>
    </row>
    <row r="78" spans="1:10" ht="101.25" customHeight="1" x14ac:dyDescent="0.25">
      <c r="A78" s="630" t="s">
        <v>86</v>
      </c>
      <c r="B78" s="630"/>
      <c r="C78" s="630"/>
      <c r="D78" s="630"/>
      <c r="E78" s="630"/>
      <c r="F78" s="630"/>
      <c r="G78" s="630"/>
      <c r="H78" s="630"/>
      <c r="I78" s="630"/>
      <c r="J78" s="630"/>
    </row>
  </sheetData>
  <mergeCells count="7">
    <mergeCell ref="A78:J78"/>
    <mergeCell ref="A2:J2"/>
    <mergeCell ref="E3:J3"/>
    <mergeCell ref="B4:D4"/>
    <mergeCell ref="F4:F5"/>
    <mergeCell ref="G4:G5"/>
    <mergeCell ref="H4:J4"/>
  </mergeCells>
  <pageMargins left="0.7" right="0.7" top="0.6" bottom="0.6" header="0.3" footer="0.3"/>
  <pageSetup scale="83" fitToHeight="0" orientation="portrait" r:id="rId1"/>
  <rowBreaks count="1" manualBreakCount="1">
    <brk id="42"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0035D-3F81-462D-8745-FF6A3D0BDB14}">
  <sheetPr>
    <tabColor theme="4" tint="0.79998168889431442"/>
  </sheetPr>
  <dimension ref="A1:AQ70"/>
  <sheetViews>
    <sheetView topLeftCell="A13" zoomScale="40" zoomScaleNormal="40" workbookViewId="0">
      <selection activeCell="G64" sqref="G64"/>
    </sheetView>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8" width="12.28515625" style="495" customWidth="1"/>
    <col min="19" max="19" width="9.140625" style="495"/>
    <col min="20" max="20" width="12.28515625" style="495" customWidth="1"/>
    <col min="21" max="21" width="11" style="495" bestFit="1" customWidth="1"/>
    <col min="22" max="22" width="17.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418</v>
      </c>
      <c r="G2" s="128" t="s">
        <v>1550</v>
      </c>
      <c r="H2" s="128"/>
      <c r="J2" s="525"/>
      <c r="K2" s="525"/>
      <c r="Y2" s="371" t="s">
        <v>448</v>
      </c>
      <c r="Z2" s="610" t="s">
        <v>449</v>
      </c>
    </row>
    <row r="3" spans="2:40" ht="18" x14ac:dyDescent="0.25">
      <c r="B3" s="353" t="s">
        <v>450</v>
      </c>
      <c r="C3" s="352" t="s">
        <v>131</v>
      </c>
      <c r="D3" s="577" t="s">
        <v>451</v>
      </c>
      <c r="F3" s="615" t="s">
        <v>221</v>
      </c>
      <c r="G3" s="501">
        <v>0.3</v>
      </c>
      <c r="H3" s="263"/>
      <c r="Y3" s="610" t="s">
        <v>452</v>
      </c>
      <c r="Z3" s="495">
        <f>53.11/1000</f>
        <v>5.3109999999999997E-2</v>
      </c>
      <c r="AA3" s="138"/>
    </row>
    <row r="4" spans="2:40" ht="51" x14ac:dyDescent="0.25">
      <c r="B4" s="497" t="s">
        <v>453</v>
      </c>
      <c r="C4" s="396" t="str">
        <f>INDEX('Typology Baseline - climate adj'!$D4:$D$8,MATCH($C$3,'Typology Baseline - climate adj'!$A$4:$A$8,0))</f>
        <v>Seattle</v>
      </c>
      <c r="F4" s="616" t="s">
        <v>510</v>
      </c>
      <c r="G4" s="501">
        <v>0.3</v>
      </c>
      <c r="H4" s="263"/>
      <c r="Y4" s="498" t="s">
        <v>454</v>
      </c>
      <c r="Z4" s="499">
        <f>INDEX(Readme!$K$30:$K$33,MATCH(C4,Readme!$D$30:$D$33,0))</f>
        <v>2.6955815986857323E-3</v>
      </c>
      <c r="AA4" s="500" t="s">
        <v>455</v>
      </c>
    </row>
    <row r="5" spans="2:40" ht="25.5" x14ac:dyDescent="0.25">
      <c r="B5" s="622"/>
      <c r="F5" s="616" t="s">
        <v>511</v>
      </c>
      <c r="G5" s="501">
        <v>0</v>
      </c>
      <c r="H5" s="263"/>
      <c r="Y5" s="498" t="s">
        <v>456</v>
      </c>
      <c r="Z5" s="499">
        <f>IF(Z4/2&lt;Z6,Z6,Z4/2)</f>
        <v>2.6955815986857323E-3</v>
      </c>
      <c r="AA5" s="224" t="str">
        <f>TEXT((Z4-Z5)/Z4,"##%")&amp;" lower than today"</f>
        <v>% lower than today</v>
      </c>
    </row>
    <row r="6" spans="2:40" ht="38.25" x14ac:dyDescent="0.25">
      <c r="B6" s="622"/>
      <c r="F6" s="616" t="s">
        <v>512</v>
      </c>
      <c r="G6" s="501">
        <v>0</v>
      </c>
      <c r="H6" s="263"/>
      <c r="Y6" s="498" t="s">
        <v>457</v>
      </c>
      <c r="Z6" s="499">
        <f>Readme!L32</f>
        <v>2.6955815986857323E-3</v>
      </c>
      <c r="AA6" s="557" t="s">
        <v>1501</v>
      </c>
    </row>
    <row r="7" spans="2:40" ht="15" x14ac:dyDescent="0.25">
      <c r="B7" s="623" t="s">
        <v>1551</v>
      </c>
      <c r="C7" s="501">
        <v>0</v>
      </c>
      <c r="F7" s="616" t="s">
        <v>173</v>
      </c>
      <c r="G7" s="501">
        <v>0</v>
      </c>
      <c r="H7" s="263"/>
    </row>
    <row r="8" spans="2:40" ht="14.25" x14ac:dyDescent="0.2">
      <c r="B8" s="138"/>
      <c r="C8" s="138"/>
      <c r="D8" s="138"/>
    </row>
    <row r="9" spans="2:40" ht="18" x14ac:dyDescent="0.25">
      <c r="B9" s="576" t="s">
        <v>458</v>
      </c>
      <c r="C9" s="502" t="s">
        <v>459</v>
      </c>
      <c r="D9" s="502" t="s">
        <v>459</v>
      </c>
      <c r="E9" s="502" t="s">
        <v>460</v>
      </c>
      <c r="F9" s="502" t="s">
        <v>460</v>
      </c>
      <c r="G9" s="502" t="s">
        <v>461</v>
      </c>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Seattle</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Seattle: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510" t="s">
        <v>478</v>
      </c>
      <c r="AC11" s="511" t="s">
        <v>479</v>
      </c>
      <c r="AD11" s="512" t="s">
        <v>480</v>
      </c>
      <c r="AE11" s="510" t="s">
        <v>481</v>
      </c>
      <c r="AF11" s="513" t="s">
        <v>482</v>
      </c>
      <c r="AG11" s="558" t="s">
        <v>1502</v>
      </c>
      <c r="AI11" s="506"/>
      <c r="AJ11" s="506"/>
      <c r="AK11" s="506"/>
      <c r="AL11" s="506"/>
      <c r="AM11" s="506"/>
      <c r="AN11" s="506"/>
    </row>
    <row r="12" spans="2:40" ht="15" x14ac:dyDescent="0.25">
      <c r="B12" s="367" t="s">
        <v>535</v>
      </c>
      <c r="C12" s="354">
        <v>7.9832805665169602</v>
      </c>
      <c r="D12" s="354">
        <v>25.859401848296717</v>
      </c>
      <c r="E12" s="588"/>
      <c r="F12" s="588"/>
      <c r="G12" s="587" t="b">
        <v>1</v>
      </c>
      <c r="H12" s="587" t="b">
        <v>1</v>
      </c>
      <c r="J12" s="138" t="str">
        <f>B36</f>
        <v>Multifamily (1-3)</v>
      </c>
      <c r="K12" s="514">
        <f>H36</f>
        <v>9.3940983234336617</v>
      </c>
      <c r="L12" s="515">
        <f>G36</f>
        <v>30.520456706628707</v>
      </c>
      <c r="M12" s="268">
        <f>F36</f>
        <v>39.914555030062367</v>
      </c>
      <c r="N12" s="514">
        <f t="shared" ref="N12:O14" si="0">V36</f>
        <v>8.6025385025418615</v>
      </c>
      <c r="O12" s="515">
        <f t="shared" si="0"/>
        <v>21.364319694640095</v>
      </c>
      <c r="P12" s="268">
        <f t="shared" ref="P12:P14" si="1">X36</f>
        <v>29.966858197181956</v>
      </c>
      <c r="Q12" s="514">
        <v>0</v>
      </c>
      <c r="R12" s="515">
        <f t="shared" ref="R12:R30" si="2">Z36+AA36</f>
        <v>25.666890095627419</v>
      </c>
      <c r="S12" s="268">
        <f t="shared" ref="S12:S30" si="3">AB36</f>
        <v>25.666890095627419</v>
      </c>
      <c r="T12" s="514">
        <v>0</v>
      </c>
      <c r="U12" s="515">
        <f t="shared" ref="U12:U30" si="4">AJ36+AK36</f>
        <v>25.666890095627419</v>
      </c>
      <c r="V12" s="268">
        <f>U12+T12</f>
        <v>25.666890095627419</v>
      </c>
      <c r="W12" s="263"/>
      <c r="Y12" s="516" t="str">
        <f t="shared" ref="Y12:Y30" si="5">J12</f>
        <v>Multifamily (1-3)</v>
      </c>
      <c r="Z12" s="517">
        <f t="shared" ref="Z12:Z30" si="6">K12*$Z$3+L12*$Z$4</f>
        <v>0.58119094343943467</v>
      </c>
      <c r="AA12" s="518">
        <f t="shared" ref="AA12:AA30" si="7">N12*$Z$3+O12*$Z$5</f>
        <v>0.51447008690730922</v>
      </c>
      <c r="AB12" s="519">
        <f t="shared" ref="AB12:AB30" si="8">Q12*$Z$3+R12*$Z$6</f>
        <v>6.9187196637262346E-2</v>
      </c>
      <c r="AC12" s="520">
        <f t="shared" ref="AC12:AD27" si="9">AN36</f>
        <v>4.0620278136218309</v>
      </c>
      <c r="AD12" s="521">
        <f t="shared" si="9"/>
        <v>6.6032430778127864</v>
      </c>
      <c r="AE12" s="522">
        <f t="shared" ref="AE12:AE14" si="10">AD12/AC12-1</f>
        <v>0.62560262528708011</v>
      </c>
      <c r="AF12" s="523">
        <f t="shared" ref="AF12:AF14" si="11">(AD12-AC12)/(Z12-AB12)</f>
        <v>4.9632747417624437</v>
      </c>
      <c r="AG12" s="523">
        <f t="shared" ref="AG12:AG30" si="12">(AD12-AC12)/(N12)</f>
        <v>0.29540295151716928</v>
      </c>
      <c r="AI12" s="506"/>
      <c r="AJ12" s="524"/>
      <c r="AK12" s="524">
        <f>M12</f>
        <v>39.914555030062367</v>
      </c>
      <c r="AL12" s="524">
        <f>P12</f>
        <v>29.966858197181956</v>
      </c>
      <c r="AM12" s="524">
        <f>S12</f>
        <v>25.666890095627419</v>
      </c>
      <c r="AN12" s="524">
        <f>V12</f>
        <v>25.666890095627419</v>
      </c>
    </row>
    <row r="13" spans="2:40" ht="15" x14ac:dyDescent="0.25">
      <c r="B13" s="367" t="s">
        <v>536</v>
      </c>
      <c r="C13" s="354">
        <v>8.4150304556740032</v>
      </c>
      <c r="D13" s="354">
        <v>22.574652385798835</v>
      </c>
      <c r="E13" s="588"/>
      <c r="F13" s="588"/>
      <c r="G13" s="587" t="b">
        <v>1</v>
      </c>
      <c r="H13" s="587" t="b">
        <v>1</v>
      </c>
      <c r="J13" s="138" t="str">
        <f>B37</f>
        <v>Multifamily (4-6)</v>
      </c>
      <c r="K13" s="514">
        <f>H37</f>
        <v>9.683729563886299</v>
      </c>
      <c r="L13" s="515">
        <f>G37</f>
        <v>26.471220761404446</v>
      </c>
      <c r="M13" s="268">
        <f>F37</f>
        <v>36.154950325290741</v>
      </c>
      <c r="N13" s="514">
        <f t="shared" si="0"/>
        <v>9.5090706455046554</v>
      </c>
      <c r="O13" s="515">
        <f t="shared" si="0"/>
        <v>18.529854532983112</v>
      </c>
      <c r="P13" s="268">
        <f t="shared" si="1"/>
        <v>28.038925178487766</v>
      </c>
      <c r="Q13" s="514">
        <v>0</v>
      </c>
      <c r="R13" s="515">
        <f t="shared" si="2"/>
        <v>23.898048664153663</v>
      </c>
      <c r="S13" s="268">
        <f t="shared" si="3"/>
        <v>23.898048664153663</v>
      </c>
      <c r="T13" s="514">
        <v>0</v>
      </c>
      <c r="U13" s="515">
        <f t="shared" si="4"/>
        <v>23.898048664153663</v>
      </c>
      <c r="V13" s="268">
        <f t="shared" ref="V13:V30" si="13">U13+T13</f>
        <v>23.898048664153663</v>
      </c>
      <c r="W13" s="263"/>
      <c r="Y13" s="516" t="str">
        <f t="shared" si="5"/>
        <v>Multifamily (4-6)</v>
      </c>
      <c r="Z13" s="517">
        <f t="shared" si="6"/>
        <v>0.58565821271719076</v>
      </c>
      <c r="AA13" s="518">
        <f t="shared" si="7"/>
        <v>0.55497547688818494</v>
      </c>
      <c r="AB13" s="519">
        <f t="shared" si="8"/>
        <v>6.4419140223588758E-2</v>
      </c>
      <c r="AC13" s="520">
        <f t="shared" si="9"/>
        <v>5.953727882815703</v>
      </c>
      <c r="AD13" s="521">
        <f t="shared" si="9"/>
        <v>6.4216343132839562</v>
      </c>
      <c r="AE13" s="522">
        <f t="shared" si="10"/>
        <v>7.8590496522149778E-2</v>
      </c>
      <c r="AF13" s="523">
        <f t="shared" si="11"/>
        <v>0.89768103574774993</v>
      </c>
      <c r="AG13" s="523">
        <f t="shared" si="12"/>
        <v>4.9206326034548137E-2</v>
      </c>
      <c r="AI13" s="506"/>
      <c r="AJ13" s="524"/>
      <c r="AK13" s="524">
        <f t="shared" ref="AK13:AK30" si="14">M13</f>
        <v>36.154950325290741</v>
      </c>
      <c r="AL13" s="524">
        <f t="shared" ref="AL13:AL30" si="15">P13</f>
        <v>28.038925178487766</v>
      </c>
      <c r="AM13" s="524">
        <f t="shared" ref="AM13:AM30" si="16">S13</f>
        <v>23.898048664153663</v>
      </c>
      <c r="AN13" s="524">
        <f t="shared" ref="AN13:AN30" si="17">V13</f>
        <v>23.898048664153663</v>
      </c>
    </row>
    <row r="14" spans="2:40" ht="15" x14ac:dyDescent="0.25">
      <c r="B14" s="367" t="s">
        <v>537</v>
      </c>
      <c r="C14" s="354">
        <v>14.568526344667569</v>
      </c>
      <c r="D14" s="354">
        <v>26.481984229866605</v>
      </c>
      <c r="E14" s="588"/>
      <c r="F14" s="588"/>
      <c r="G14" s="587" t="b">
        <v>1</v>
      </c>
      <c r="H14" s="587" t="b">
        <v>1</v>
      </c>
      <c r="J14" s="138" t="str">
        <f>B38</f>
        <v>Multifamily (7+)</v>
      </c>
      <c r="K14" s="514">
        <f>H38</f>
        <v>17.246377748185711</v>
      </c>
      <c r="L14" s="515">
        <f>G38</f>
        <v>31.259550433329444</v>
      </c>
      <c r="M14" s="268">
        <f>F38</f>
        <v>48.505928181515159</v>
      </c>
      <c r="N14" s="514">
        <f t="shared" si="0"/>
        <v>15.611295541989122</v>
      </c>
      <c r="O14" s="515">
        <f t="shared" si="0"/>
        <v>21.88168530333061</v>
      </c>
      <c r="P14" s="268">
        <f t="shared" si="1"/>
        <v>37.492980845319735</v>
      </c>
      <c r="Q14" s="514">
        <v>0</v>
      </c>
      <c r="R14" s="515">
        <f t="shared" si="2"/>
        <v>28.61714429423473</v>
      </c>
      <c r="S14" s="268">
        <f t="shared" si="3"/>
        <v>28.61714429423473</v>
      </c>
      <c r="T14" s="514">
        <v>0</v>
      </c>
      <c r="U14" s="515">
        <f t="shared" si="4"/>
        <v>28.617144294234734</v>
      </c>
      <c r="V14" s="268">
        <f t="shared" si="13"/>
        <v>28.617144294234734</v>
      </c>
      <c r="W14" s="263"/>
      <c r="Y14" s="516" t="str">
        <f t="shared" si="5"/>
        <v>Multifamily (7+)</v>
      </c>
      <c r="Z14" s="517">
        <f t="shared" si="6"/>
        <v>1.0002177911374146</v>
      </c>
      <c r="AA14" s="518">
        <f t="shared" si="7"/>
        <v>0.88809977448693234</v>
      </c>
      <c r="AB14" s="519">
        <f t="shared" si="8"/>
        <v>7.7139847566473532E-2</v>
      </c>
      <c r="AC14" s="520">
        <f t="shared" si="9"/>
        <v>4.0173605887844586</v>
      </c>
      <c r="AD14" s="521">
        <f t="shared" si="9"/>
        <v>10.01873614984571</v>
      </c>
      <c r="AE14" s="522">
        <f t="shared" si="10"/>
        <v>1.4938603166008306</v>
      </c>
      <c r="AF14" s="523">
        <f t="shared" si="11"/>
        <v>6.5014830035314661</v>
      </c>
      <c r="AG14" s="523">
        <f t="shared" si="12"/>
        <v>0.38442520961310189</v>
      </c>
      <c r="AI14" s="506"/>
      <c r="AJ14" s="524"/>
      <c r="AK14" s="524">
        <f t="shared" si="14"/>
        <v>48.505928181515159</v>
      </c>
      <c r="AL14" s="524">
        <f t="shared" si="15"/>
        <v>37.492980845319735</v>
      </c>
      <c r="AM14" s="524">
        <f t="shared" si="16"/>
        <v>28.61714429423473</v>
      </c>
      <c r="AN14" s="524">
        <f t="shared" si="17"/>
        <v>28.617144294234734</v>
      </c>
    </row>
    <row r="15" spans="2:40" ht="15" x14ac:dyDescent="0.25">
      <c r="B15" s="367" t="s">
        <v>538</v>
      </c>
      <c r="C15" s="354">
        <v>18.104373154166812</v>
      </c>
      <c r="D15" s="354">
        <v>53.305573292873845</v>
      </c>
      <c r="E15" s="588"/>
      <c r="F15" s="588"/>
      <c r="G15" s="587" t="b">
        <v>1</v>
      </c>
      <c r="H15" s="587" t="b">
        <v>1</v>
      </c>
      <c r="J15" s="138" t="str">
        <f t="shared" ref="J15:J30" si="18">B39</f>
        <v>Dry Goods Retail</v>
      </c>
      <c r="K15" s="514">
        <f t="shared" ref="K15:K30" si="19">H39</f>
        <v>18.8333340438293</v>
      </c>
      <c r="L15" s="515">
        <f t="shared" ref="L15:L30" si="20">G39</f>
        <v>56.130768677396034</v>
      </c>
      <c r="M15" s="268">
        <f t="shared" ref="M15:M30" si="21">F39</f>
        <v>74.964102721225331</v>
      </c>
      <c r="N15" s="514">
        <f t="shared" ref="N15:P30" si="22">V39</f>
        <v>14.744587185458583</v>
      </c>
      <c r="O15" s="515">
        <f t="shared" si="22"/>
        <v>39.291538074177218</v>
      </c>
      <c r="P15" s="268">
        <f t="shared" si="22"/>
        <v>54.036125259635803</v>
      </c>
      <c r="Q15" s="514">
        <v>0</v>
      </c>
      <c r="R15" s="515">
        <f t="shared" si="2"/>
        <v>44.473450909185331</v>
      </c>
      <c r="S15" s="268">
        <f t="shared" si="3"/>
        <v>44.473450909185331</v>
      </c>
      <c r="T15" s="514">
        <v>0</v>
      </c>
      <c r="U15" s="515">
        <f t="shared" si="4"/>
        <v>44.546583241760075</v>
      </c>
      <c r="V15" s="268">
        <f t="shared" si="13"/>
        <v>44.546583241760075</v>
      </c>
      <c r="W15" s="263"/>
      <c r="Y15" s="516" t="str">
        <f t="shared" si="5"/>
        <v>Dry Goods Retail</v>
      </c>
      <c r="Z15" s="517">
        <f t="shared" si="6"/>
        <v>1.1515434382346483</v>
      </c>
      <c r="AA15" s="518">
        <f t="shared" si="7"/>
        <v>0.88899857243651725</v>
      </c>
      <c r="AB15" s="519">
        <f t="shared" si="8"/>
        <v>0.11988181590085323</v>
      </c>
      <c r="AC15" s="520">
        <f t="shared" si="9"/>
        <v>1.8923515724588631</v>
      </c>
      <c r="AD15" s="521">
        <f t="shared" si="9"/>
        <v>15.222862515149343</v>
      </c>
      <c r="AE15" s="522">
        <f>AD15/AC15-1</f>
        <v>7.0444156026299201</v>
      </c>
      <c r="AF15" s="523">
        <f>(AD15-AC15)/(Z15-AB15)</f>
        <v>12.921398503255926</v>
      </c>
      <c r="AG15" s="523">
        <f t="shared" si="12"/>
        <v>0.90409522999988134</v>
      </c>
      <c r="AI15" s="506"/>
      <c r="AJ15" s="524"/>
      <c r="AK15" s="524">
        <f t="shared" si="14"/>
        <v>74.964102721225331</v>
      </c>
      <c r="AL15" s="524">
        <f t="shared" si="15"/>
        <v>54.036125259635803</v>
      </c>
      <c r="AM15" s="524">
        <f t="shared" si="16"/>
        <v>44.473450909185331</v>
      </c>
      <c r="AN15" s="524">
        <f t="shared" si="17"/>
        <v>44.546583241760075</v>
      </c>
    </row>
    <row r="16" spans="2:40" ht="15" x14ac:dyDescent="0.25">
      <c r="B16" s="367" t="s">
        <v>539</v>
      </c>
      <c r="C16" s="354">
        <v>52.802173089803283</v>
      </c>
      <c r="D16" s="354">
        <v>147.48473788365149</v>
      </c>
      <c r="E16" s="588"/>
      <c r="F16" s="588"/>
      <c r="G16" s="587" t="b">
        <v>1</v>
      </c>
      <c r="H16" s="587" t="b">
        <v>1</v>
      </c>
      <c r="J16" s="138" t="str">
        <f t="shared" si="18"/>
        <v>Grocery</v>
      </c>
      <c r="K16" s="514">
        <f t="shared" si="19"/>
        <v>54.585704281543798</v>
      </c>
      <c r="L16" s="515">
        <f t="shared" si="20"/>
        <v>155.30142899148535</v>
      </c>
      <c r="M16" s="268">
        <f t="shared" si="21"/>
        <v>209.88713327302915</v>
      </c>
      <c r="N16" s="514">
        <f t="shared" si="22"/>
        <v>46.664569959035582</v>
      </c>
      <c r="O16" s="515">
        <f t="shared" si="22"/>
        <v>108.71100029403974</v>
      </c>
      <c r="P16" s="268">
        <f t="shared" si="22"/>
        <v>155.37557025307532</v>
      </c>
      <c r="Q16" s="514">
        <v>0</v>
      </c>
      <c r="R16" s="515">
        <f t="shared" si="2"/>
        <v>128.01254350973002</v>
      </c>
      <c r="S16" s="268">
        <f t="shared" si="3"/>
        <v>128.01254350973002</v>
      </c>
      <c r="T16" s="514">
        <v>0</v>
      </c>
      <c r="U16" s="515">
        <f t="shared" si="4"/>
        <v>125.26609654892388</v>
      </c>
      <c r="V16" s="268">
        <f t="shared" si="13"/>
        <v>125.26609654892388</v>
      </c>
      <c r="W16" s="263"/>
      <c r="Y16" s="516" t="str">
        <f t="shared" si="5"/>
        <v>Grocery</v>
      </c>
      <c r="Z16" s="517">
        <f t="shared" si="6"/>
        <v>3.3176744286318378</v>
      </c>
      <c r="AA16" s="518">
        <f t="shared" si="7"/>
        <v>2.7713946824917124</v>
      </c>
      <c r="AB16" s="519">
        <f t="shared" si="8"/>
        <v>0.34506825668578495</v>
      </c>
      <c r="AC16" s="520">
        <f t="shared" si="9"/>
        <v>11.619564286091475</v>
      </c>
      <c r="AD16" s="521">
        <f t="shared" si="9"/>
        <v>38.230088956074042</v>
      </c>
      <c r="AE16" s="522">
        <f>AD16/AC16-1</f>
        <v>2.2901482374717914</v>
      </c>
      <c r="AF16" s="523">
        <f>(AD16-AC16)/(Z16-AB16)</f>
        <v>8.9519173179142211</v>
      </c>
      <c r="AG16" s="523">
        <f t="shared" si="12"/>
        <v>0.57025114971256718</v>
      </c>
      <c r="AI16" s="506"/>
      <c r="AJ16" s="524"/>
      <c r="AK16" s="524">
        <f t="shared" si="14"/>
        <v>209.88713327302915</v>
      </c>
      <c r="AL16" s="524">
        <f t="shared" si="15"/>
        <v>155.37557025307532</v>
      </c>
      <c r="AM16" s="524">
        <f t="shared" si="16"/>
        <v>128.01254350973002</v>
      </c>
      <c r="AN16" s="524">
        <f t="shared" si="17"/>
        <v>125.26609654892388</v>
      </c>
    </row>
    <row r="17" spans="2:40" ht="15" x14ac:dyDescent="0.25">
      <c r="B17" s="367" t="s">
        <v>540</v>
      </c>
      <c r="C17" s="354">
        <v>89.975248647223268</v>
      </c>
      <c r="D17" s="354">
        <v>91.555828547303847</v>
      </c>
      <c r="E17" s="588"/>
      <c r="F17" s="588"/>
      <c r="G17" s="587" t="b">
        <v>1</v>
      </c>
      <c r="H17" s="587" t="b">
        <v>1</v>
      </c>
      <c r="J17" s="138" t="str">
        <f t="shared" si="18"/>
        <v>Hospital</v>
      </c>
      <c r="K17" s="514">
        <f t="shared" si="19"/>
        <v>103.40079272121255</v>
      </c>
      <c r="L17" s="515">
        <f t="shared" si="20"/>
        <v>96.40828746031093</v>
      </c>
      <c r="M17" s="268">
        <f t="shared" si="21"/>
        <v>199.80908018152348</v>
      </c>
      <c r="N17" s="514">
        <f t="shared" si="22"/>
        <v>87.440827034358023</v>
      </c>
      <c r="O17" s="515">
        <f t="shared" si="22"/>
        <v>67.485801222217646</v>
      </c>
      <c r="P17" s="268">
        <f t="shared" si="22"/>
        <v>154.92662825657567</v>
      </c>
      <c r="Q17" s="514">
        <v>0</v>
      </c>
      <c r="R17" s="515">
        <f t="shared" si="2"/>
        <v>100.38464639481592</v>
      </c>
      <c r="S17" s="268">
        <f t="shared" si="3"/>
        <v>100.38464639481592</v>
      </c>
      <c r="T17" s="514">
        <v>0</v>
      </c>
      <c r="U17" s="515">
        <f t="shared" si="4"/>
        <v>91.635872015297892</v>
      </c>
      <c r="V17" s="268">
        <f t="shared" si="13"/>
        <v>91.635872015297892</v>
      </c>
      <c r="W17" s="263"/>
      <c r="Y17" s="516" t="str">
        <f t="shared" si="5"/>
        <v>Hospital</v>
      </c>
      <c r="Z17" s="517">
        <f t="shared" si="6"/>
        <v>5.7514925070624177</v>
      </c>
      <c r="AA17" s="518">
        <f t="shared" si="7"/>
        <v>4.8258958077419267</v>
      </c>
      <c r="AB17" s="519">
        <f t="shared" si="8"/>
        <v>0.27059500561243982</v>
      </c>
      <c r="AC17" s="520">
        <f t="shared" si="9"/>
        <v>11.944182486304364</v>
      </c>
      <c r="AD17" s="521">
        <f t="shared" si="9"/>
        <v>67.392795154401867</v>
      </c>
      <c r="AE17" s="522">
        <f t="shared" ref="AE17:AE30" si="23">AD17/AC17-1</f>
        <v>4.6423112449660673</v>
      </c>
      <c r="AF17" s="523">
        <f t="shared" ref="AF17:AF30" si="24">(AD17-AC17)/(Z17-AB17)</f>
        <v>10.116703086205955</v>
      </c>
      <c r="AG17" s="523">
        <f t="shared" si="12"/>
        <v>0.63412726696089172</v>
      </c>
      <c r="AI17" s="506"/>
      <c r="AJ17" s="524"/>
      <c r="AK17" s="524">
        <f t="shared" si="14"/>
        <v>199.80908018152348</v>
      </c>
      <c r="AL17" s="524">
        <f t="shared" si="15"/>
        <v>154.92662825657567</v>
      </c>
      <c r="AM17" s="524">
        <f t="shared" si="16"/>
        <v>100.38464639481592</v>
      </c>
      <c r="AN17" s="524">
        <f t="shared" si="17"/>
        <v>91.635872015297892</v>
      </c>
    </row>
    <row r="18" spans="2:40" ht="15" x14ac:dyDescent="0.25">
      <c r="B18" s="367" t="s">
        <v>541</v>
      </c>
      <c r="C18" s="354">
        <v>49.727247533681641</v>
      </c>
      <c r="D18" s="354">
        <v>45.401240757610609</v>
      </c>
      <c r="E18" s="588"/>
      <c r="F18" s="588"/>
      <c r="G18" s="587" t="b">
        <v>1</v>
      </c>
      <c r="H18" s="587" t="b">
        <v>1</v>
      </c>
      <c r="J18" s="138" t="str">
        <f t="shared" si="18"/>
        <v>Hotel Motel</v>
      </c>
      <c r="K18" s="514">
        <f t="shared" si="19"/>
        <v>53.126824535660631</v>
      </c>
      <c r="L18" s="515">
        <f t="shared" si="20"/>
        <v>47.807506517763805</v>
      </c>
      <c r="M18" s="268">
        <f t="shared" si="21"/>
        <v>100.93433105342444</v>
      </c>
      <c r="N18" s="514">
        <f t="shared" si="22"/>
        <v>49.623952799298635</v>
      </c>
      <c r="O18" s="515">
        <f t="shared" si="22"/>
        <v>33.465254562434659</v>
      </c>
      <c r="P18" s="268">
        <f t="shared" si="22"/>
        <v>83.089207361733287</v>
      </c>
      <c r="Q18" s="514">
        <v>0</v>
      </c>
      <c r="R18" s="515">
        <f t="shared" si="2"/>
        <v>56.554241994794083</v>
      </c>
      <c r="S18" s="268">
        <f t="shared" si="3"/>
        <v>56.554241994794083</v>
      </c>
      <c r="T18" s="514">
        <v>0</v>
      </c>
      <c r="U18" s="515">
        <f t="shared" si="4"/>
        <v>56.55424199479409</v>
      </c>
      <c r="V18" s="268">
        <f t="shared" si="13"/>
        <v>56.55424199479409</v>
      </c>
      <c r="W18" s="263"/>
      <c r="Y18" s="516" t="str">
        <f t="shared" si="5"/>
        <v>Hotel Motel</v>
      </c>
      <c r="Z18" s="517">
        <f t="shared" si="6"/>
        <v>2.9504346859372683</v>
      </c>
      <c r="AA18" s="518">
        <f t="shared" si="7"/>
        <v>2.725736457564583</v>
      </c>
      <c r="AB18" s="519">
        <f t="shared" si="8"/>
        <v>0.15244657404878681</v>
      </c>
      <c r="AC18" s="520">
        <f t="shared" si="9"/>
        <v>12.454883583964826</v>
      </c>
      <c r="AD18" s="521">
        <f t="shared" si="9"/>
        <v>26.657919425342811</v>
      </c>
      <c r="AE18" s="522">
        <f t="shared" si="23"/>
        <v>1.1403587793999006</v>
      </c>
      <c r="AF18" s="523">
        <f t="shared" si="24"/>
        <v>5.0761601813210531</v>
      </c>
      <c r="AG18" s="523">
        <f t="shared" si="12"/>
        <v>0.28621331111653658</v>
      </c>
      <c r="AI18" s="506"/>
      <c r="AJ18" s="524"/>
      <c r="AK18" s="524">
        <f t="shared" si="14"/>
        <v>100.93433105342444</v>
      </c>
      <c r="AL18" s="524">
        <f t="shared" si="15"/>
        <v>83.089207361733287</v>
      </c>
      <c r="AM18" s="524">
        <f t="shared" si="16"/>
        <v>56.554241994794083</v>
      </c>
      <c r="AN18" s="524">
        <f t="shared" si="17"/>
        <v>56.55424199479409</v>
      </c>
    </row>
    <row r="19" spans="2:40" ht="15" x14ac:dyDescent="0.25">
      <c r="B19" s="367" t="s">
        <v>425</v>
      </c>
      <c r="C19" s="354">
        <v>12.985344398263074</v>
      </c>
      <c r="D19" s="354">
        <v>58.911465110422014</v>
      </c>
      <c r="E19" s="588"/>
      <c r="F19" s="588"/>
      <c r="G19" s="587" t="b">
        <v>1</v>
      </c>
      <c r="H19" s="587" t="b">
        <v>1</v>
      </c>
      <c r="J19" s="138" t="str">
        <f t="shared" si="18"/>
        <v>Office</v>
      </c>
      <c r="K19" s="514">
        <f t="shared" si="19"/>
        <v>14.500354455627306</v>
      </c>
      <c r="L19" s="515">
        <f t="shared" si="20"/>
        <v>62.033772761274307</v>
      </c>
      <c r="M19" s="268">
        <f t="shared" si="21"/>
        <v>76.534127216901609</v>
      </c>
      <c r="N19" s="514">
        <f t="shared" si="22"/>
        <v>10.560263434030324</v>
      </c>
      <c r="O19" s="515">
        <f t="shared" si="22"/>
        <v>43.423640932892013</v>
      </c>
      <c r="P19" s="268">
        <f t="shared" si="22"/>
        <v>53.983904366922339</v>
      </c>
      <c r="Q19" s="514">
        <v>0</v>
      </c>
      <c r="R19" s="515">
        <f t="shared" si="2"/>
        <v>46.924687355657291</v>
      </c>
      <c r="S19" s="268">
        <f t="shared" si="3"/>
        <v>46.924687355657291</v>
      </c>
      <c r="T19" s="514">
        <v>0</v>
      </c>
      <c r="U19" s="515">
        <f t="shared" si="4"/>
        <v>46.924687355657291</v>
      </c>
      <c r="V19" s="268">
        <f t="shared" si="13"/>
        <v>46.924687355657291</v>
      </c>
      <c r="W19" s="263"/>
      <c r="Y19" s="516" t="str">
        <f t="shared" si="5"/>
        <v>Office</v>
      </c>
      <c r="Z19" s="517">
        <f t="shared" si="6"/>
        <v>0.93733092149070951</v>
      </c>
      <c r="AA19" s="518">
        <f t="shared" si="7"/>
        <v>0.67790755842799078</v>
      </c>
      <c r="AB19" s="519">
        <f t="shared" si="8"/>
        <v>0.12648932375999086</v>
      </c>
      <c r="AC19" s="520">
        <f t="shared" si="9"/>
        <v>1.4449477710306016</v>
      </c>
      <c r="AD19" s="521">
        <f t="shared" si="9"/>
        <v>13.830108576919878</v>
      </c>
      <c r="AE19" s="522">
        <f t="shared" si="23"/>
        <v>8.5713553487512044</v>
      </c>
      <c r="AF19" s="523">
        <f t="shared" si="24"/>
        <v>15.274451681501423</v>
      </c>
      <c r="AG19" s="523">
        <f t="shared" si="12"/>
        <v>1.1728079401862497</v>
      </c>
      <c r="AI19" s="506"/>
      <c r="AJ19" s="524"/>
      <c r="AK19" s="524">
        <f t="shared" si="14"/>
        <v>76.534127216901609</v>
      </c>
      <c r="AL19" s="524">
        <f t="shared" si="15"/>
        <v>53.983904366922339</v>
      </c>
      <c r="AM19" s="524">
        <f t="shared" si="16"/>
        <v>46.924687355657291</v>
      </c>
      <c r="AN19" s="524">
        <f t="shared" si="17"/>
        <v>46.924687355657291</v>
      </c>
    </row>
    <row r="20" spans="2:40" ht="15" x14ac:dyDescent="0.25">
      <c r="B20" s="367" t="s">
        <v>542</v>
      </c>
      <c r="C20" s="354">
        <v>27.277609636313478</v>
      </c>
      <c r="D20" s="354">
        <v>42.672151328472211</v>
      </c>
      <c r="E20" s="588"/>
      <c r="F20" s="588"/>
      <c r="G20" s="587" t="b">
        <v>1</v>
      </c>
      <c r="H20" s="587" t="b">
        <v>1</v>
      </c>
      <c r="J20" s="138" t="str">
        <f t="shared" si="18"/>
        <v>Other Commercial</v>
      </c>
      <c r="K20" s="514">
        <f t="shared" si="19"/>
        <v>29.770065290957646</v>
      </c>
      <c r="L20" s="515">
        <f t="shared" si="20"/>
        <v>44.933775348881198</v>
      </c>
      <c r="M20" s="268">
        <f t="shared" si="21"/>
        <v>74.703840639838845</v>
      </c>
      <c r="N20" s="514">
        <f t="shared" si="22"/>
        <v>22.613527367881378</v>
      </c>
      <c r="O20" s="515">
        <f t="shared" si="22"/>
        <v>31.453642744216836</v>
      </c>
      <c r="P20" s="268">
        <f t="shared" si="22"/>
        <v>54.067170112098211</v>
      </c>
      <c r="Q20" s="514">
        <v>0</v>
      </c>
      <c r="R20" s="515">
        <f t="shared" si="2"/>
        <v>40.474758971682263</v>
      </c>
      <c r="S20" s="268">
        <f t="shared" si="3"/>
        <v>40.474758971682263</v>
      </c>
      <c r="T20" s="514">
        <v>0</v>
      </c>
      <c r="U20" s="515">
        <f t="shared" si="4"/>
        <v>38.299210655785316</v>
      </c>
      <c r="V20" s="268">
        <f t="shared" si="13"/>
        <v>38.299210655785316</v>
      </c>
      <c r="W20" s="263"/>
      <c r="Y20" s="516" t="str">
        <f t="shared" si="5"/>
        <v>Other Commercial</v>
      </c>
      <c r="Z20" s="517">
        <f t="shared" si="6"/>
        <v>1.7022108255926833</v>
      </c>
      <c r="AA20" s="518">
        <f t="shared" si="7"/>
        <v>1.2857902991011259</v>
      </c>
      <c r="AB20" s="519">
        <f t="shared" si="8"/>
        <v>0.10910301549530696</v>
      </c>
      <c r="AC20" s="520">
        <f t="shared" si="9"/>
        <v>5.1532710023673634</v>
      </c>
      <c r="AD20" s="521">
        <f t="shared" si="9"/>
        <v>27.476382217065922</v>
      </c>
      <c r="AE20" s="522">
        <f t="shared" si="23"/>
        <v>4.3318333548620931</v>
      </c>
      <c r="AF20" s="523">
        <f t="shared" si="24"/>
        <v>14.012304172518048</v>
      </c>
      <c r="AG20" s="523">
        <f t="shared" si="12"/>
        <v>0.98715741474303087</v>
      </c>
      <c r="AI20" s="506"/>
      <c r="AJ20" s="524"/>
      <c r="AK20" s="524">
        <f t="shared" si="14"/>
        <v>74.703840639838845</v>
      </c>
      <c r="AL20" s="524">
        <f t="shared" si="15"/>
        <v>54.067170112098211</v>
      </c>
      <c r="AM20" s="524">
        <f t="shared" si="16"/>
        <v>40.474758971682263</v>
      </c>
      <c r="AN20" s="524">
        <f t="shared" si="17"/>
        <v>38.299210655785316</v>
      </c>
    </row>
    <row r="21" spans="2:40" ht="15" x14ac:dyDescent="0.25">
      <c r="B21" s="367" t="s">
        <v>543</v>
      </c>
      <c r="C21" s="354">
        <v>205.14660205269075</v>
      </c>
      <c r="D21" s="354">
        <v>96.113299779194037</v>
      </c>
      <c r="E21" s="588"/>
      <c r="F21" s="588"/>
      <c r="G21" s="587" t="b">
        <v>1</v>
      </c>
      <c r="H21" s="587" t="b">
        <v>1</v>
      </c>
      <c r="J21" s="138" t="str">
        <f t="shared" si="18"/>
        <v>Restaurant</v>
      </c>
      <c r="K21" s="514">
        <f t="shared" si="19"/>
        <v>209.03947716318106</v>
      </c>
      <c r="L21" s="515">
        <f t="shared" si="20"/>
        <v>101.20730466749124</v>
      </c>
      <c r="M21" s="268">
        <f t="shared" si="21"/>
        <v>310.24678183067232</v>
      </c>
      <c r="N21" s="514">
        <f t="shared" si="22"/>
        <v>207.53927947226131</v>
      </c>
      <c r="O21" s="515">
        <f t="shared" si="22"/>
        <v>70.84511326724386</v>
      </c>
      <c r="P21" s="268">
        <f t="shared" si="22"/>
        <v>278.38439273950519</v>
      </c>
      <c r="Q21" s="514">
        <v>0</v>
      </c>
      <c r="R21" s="515">
        <f t="shared" si="2"/>
        <v>185.16724012050054</v>
      </c>
      <c r="S21" s="268">
        <f t="shared" si="3"/>
        <v>185.16724012050054</v>
      </c>
      <c r="T21" s="514">
        <v>0</v>
      </c>
      <c r="U21" s="515">
        <f t="shared" si="4"/>
        <v>185.16724012050057</v>
      </c>
      <c r="V21" s="268">
        <f t="shared" si="13"/>
        <v>185.16724012050057</v>
      </c>
      <c r="W21" s="263"/>
      <c r="Y21" s="516" t="str">
        <f t="shared" si="5"/>
        <v>Restaurant</v>
      </c>
      <c r="Z21" s="517">
        <f t="shared" si="6"/>
        <v>11.374899180250816</v>
      </c>
      <c r="AA21" s="518">
        <f t="shared" si="7"/>
        <v>11.213379916451785</v>
      </c>
      <c r="AB21" s="519">
        <f t="shared" si="8"/>
        <v>0.49913340514824373</v>
      </c>
      <c r="AC21" s="520">
        <f t="shared" si="9"/>
        <v>118.87823066400662</v>
      </c>
      <c r="AD21" s="521">
        <f t="shared" si="9"/>
        <v>125.28782656548415</v>
      </c>
      <c r="AE21" s="522">
        <f t="shared" si="23"/>
        <v>5.3917322504516418E-2</v>
      </c>
      <c r="AF21" s="523">
        <f t="shared" si="24"/>
        <v>0.58934662937949123</v>
      </c>
      <c r="AG21" s="523">
        <f t="shared" si="12"/>
        <v>3.0883772545496409E-2</v>
      </c>
      <c r="AI21" s="506"/>
      <c r="AJ21" s="524"/>
      <c r="AK21" s="524">
        <f t="shared" si="14"/>
        <v>310.24678183067232</v>
      </c>
      <c r="AL21" s="524">
        <f t="shared" si="15"/>
        <v>278.38439273950519</v>
      </c>
      <c r="AM21" s="524">
        <f t="shared" si="16"/>
        <v>185.16724012050054</v>
      </c>
      <c r="AN21" s="524">
        <f t="shared" si="17"/>
        <v>185.16724012050057</v>
      </c>
    </row>
    <row r="22" spans="2:40" ht="15" x14ac:dyDescent="0.25">
      <c r="B22" s="367" t="s">
        <v>544</v>
      </c>
      <c r="C22" s="354">
        <v>27.524437076161142</v>
      </c>
      <c r="D22" s="354">
        <v>28.958096471518637</v>
      </c>
      <c r="E22" s="588"/>
      <c r="F22" s="588"/>
      <c r="G22" s="587" t="b">
        <v>1</v>
      </c>
      <c r="H22" s="587" t="b">
        <v>1</v>
      </c>
      <c r="J22" s="138" t="str">
        <f t="shared" si="18"/>
        <v>School</v>
      </c>
      <c r="K22" s="514">
        <f t="shared" si="19"/>
        <v>29.236124522247138</v>
      </c>
      <c r="L22" s="515">
        <f t="shared" si="20"/>
        <v>30.4928755845091</v>
      </c>
      <c r="M22" s="268">
        <f t="shared" si="21"/>
        <v>59.729000106756239</v>
      </c>
      <c r="N22" s="514">
        <f t="shared" si="22"/>
        <v>22.638557788614513</v>
      </c>
      <c r="O22" s="515">
        <f t="shared" si="22"/>
        <v>21.34501290915637</v>
      </c>
      <c r="P22" s="268">
        <f t="shared" si="22"/>
        <v>43.983570697770887</v>
      </c>
      <c r="Q22" s="514">
        <v>0</v>
      </c>
      <c r="R22" s="515">
        <f t="shared" si="2"/>
        <v>30.287253449757074</v>
      </c>
      <c r="S22" s="268">
        <f t="shared" si="3"/>
        <v>30.287253449757074</v>
      </c>
      <c r="T22" s="514">
        <v>0</v>
      </c>
      <c r="U22" s="515">
        <f t="shared" si="4"/>
        <v>28.529070288644711</v>
      </c>
      <c r="V22" s="268">
        <f t="shared" si="13"/>
        <v>28.529070288644711</v>
      </c>
      <c r="W22" s="263"/>
      <c r="Y22" s="516" t="str">
        <f t="shared" si="5"/>
        <v>School</v>
      </c>
      <c r="Z22" s="517">
        <f t="shared" si="6"/>
        <v>1.6349266076931617</v>
      </c>
      <c r="AA22" s="518">
        <f t="shared" si="7"/>
        <v>1.2598710281749481</v>
      </c>
      <c r="AB22" s="519">
        <f t="shared" si="8"/>
        <v>8.1641763073896131E-2</v>
      </c>
      <c r="AC22" s="520">
        <f t="shared" si="9"/>
        <v>4.501893239729549</v>
      </c>
      <c r="AD22" s="521">
        <f t="shared" si="9"/>
        <v>25.411959870126619</v>
      </c>
      <c r="AE22" s="522">
        <f t="shared" si="23"/>
        <v>4.6447273440125469</v>
      </c>
      <c r="AF22" s="523">
        <f t="shared" si="24"/>
        <v>13.461836509144884</v>
      </c>
      <c r="AG22" s="523">
        <f t="shared" si="12"/>
        <v>0.92364835364703557</v>
      </c>
      <c r="AI22" s="506"/>
      <c r="AJ22" s="524"/>
      <c r="AK22" s="524">
        <f t="shared" si="14"/>
        <v>59.729000106756239</v>
      </c>
      <c r="AL22" s="524">
        <f t="shared" si="15"/>
        <v>43.983570697770887</v>
      </c>
      <c r="AM22" s="524">
        <f t="shared" si="16"/>
        <v>30.287253449757074</v>
      </c>
      <c r="AN22" s="524">
        <f t="shared" si="17"/>
        <v>28.529070288644711</v>
      </c>
    </row>
    <row r="23" spans="2:40" ht="15" x14ac:dyDescent="0.25">
      <c r="B23" s="367" t="s">
        <v>545</v>
      </c>
      <c r="C23" s="354">
        <v>61.202928336614242</v>
      </c>
      <c r="D23" s="354">
        <v>57.492841262896448</v>
      </c>
      <c r="E23" s="588"/>
      <c r="F23" s="588"/>
      <c r="G23" s="587" t="b">
        <v>1</v>
      </c>
      <c r="H23" s="587" t="b">
        <v>1</v>
      </c>
      <c r="J23" s="138" t="str">
        <f t="shared" si="18"/>
        <v>University</v>
      </c>
      <c r="K23" s="514">
        <f t="shared" si="19"/>
        <v>71.446656113684611</v>
      </c>
      <c r="L23" s="515">
        <f t="shared" si="20"/>
        <v>60.539961849829879</v>
      </c>
      <c r="M23" s="268">
        <f t="shared" si="21"/>
        <v>131.9866179635145</v>
      </c>
      <c r="N23" s="514">
        <f t="shared" si="22"/>
        <v>56.444786306230938</v>
      </c>
      <c r="O23" s="515">
        <f t="shared" si="22"/>
        <v>42.37797329488091</v>
      </c>
      <c r="P23" s="268">
        <f t="shared" si="22"/>
        <v>98.822759601111841</v>
      </c>
      <c r="Q23" s="514">
        <v>0</v>
      </c>
      <c r="R23" s="515">
        <f t="shared" si="2"/>
        <v>63.586245062134211</v>
      </c>
      <c r="S23" s="268">
        <f t="shared" si="3"/>
        <v>63.586245062134211</v>
      </c>
      <c r="T23" s="514">
        <v>0</v>
      </c>
      <c r="U23" s="515">
        <f t="shared" si="4"/>
        <v>57.124511981675262</v>
      </c>
      <c r="V23" s="268">
        <f t="shared" si="13"/>
        <v>57.124511981675262</v>
      </c>
      <c r="W23" s="263"/>
      <c r="Y23" s="516" t="str">
        <f t="shared" si="5"/>
        <v>University</v>
      </c>
      <c r="Z23" s="517">
        <f t="shared" si="6"/>
        <v>3.957722313345327</v>
      </c>
      <c r="AA23" s="518">
        <f t="shared" si="7"/>
        <v>3.1120158857272013</v>
      </c>
      <c r="AB23" s="519">
        <f t="shared" si="8"/>
        <v>0.17140191211901049</v>
      </c>
      <c r="AC23" s="520">
        <f t="shared" si="9"/>
        <v>9.4375762830429988</v>
      </c>
      <c r="AD23" s="521">
        <f t="shared" si="9"/>
        <v>58.024345550244632</v>
      </c>
      <c r="AE23" s="522">
        <f t="shared" si="23"/>
        <v>5.1482253292617193</v>
      </c>
      <c r="AF23" s="523">
        <f t="shared" si="24"/>
        <v>12.832186428667081</v>
      </c>
      <c r="AG23" s="523">
        <f t="shared" si="12"/>
        <v>0.86078400587085113</v>
      </c>
      <c r="AI23" s="506"/>
      <c r="AJ23" s="524"/>
      <c r="AK23" s="524">
        <f t="shared" si="14"/>
        <v>131.9866179635145</v>
      </c>
      <c r="AL23" s="524">
        <f t="shared" si="15"/>
        <v>98.822759601111841</v>
      </c>
      <c r="AM23" s="524">
        <f t="shared" si="16"/>
        <v>63.586245062134211</v>
      </c>
      <c r="AN23" s="524">
        <f t="shared" si="17"/>
        <v>57.124511981675262</v>
      </c>
    </row>
    <row r="24" spans="2:40" ht="15" x14ac:dyDescent="0.25">
      <c r="B24" s="367" t="s">
        <v>546</v>
      </c>
      <c r="C24" s="354">
        <v>36.035245832204019</v>
      </c>
      <c r="D24" s="354">
        <v>57.492841262896448</v>
      </c>
      <c r="E24" s="588"/>
      <c r="F24" s="588"/>
      <c r="G24" s="587" t="b">
        <v>1</v>
      </c>
      <c r="H24" s="587" t="b">
        <v>1</v>
      </c>
      <c r="J24" s="138" t="str">
        <f t="shared" si="18"/>
        <v>UW</v>
      </c>
      <c r="K24" s="514">
        <f t="shared" si="19"/>
        <v>46.369664132046516</v>
      </c>
      <c r="L24" s="515">
        <f t="shared" si="20"/>
        <v>60.539961849829879</v>
      </c>
      <c r="M24" s="268">
        <f t="shared" si="21"/>
        <v>106.90962598187639</v>
      </c>
      <c r="N24" s="514">
        <f t="shared" si="22"/>
        <v>36.546567482937462</v>
      </c>
      <c r="O24" s="515">
        <f t="shared" si="22"/>
        <v>42.37797329488091</v>
      </c>
      <c r="P24" s="268">
        <f t="shared" si="22"/>
        <v>78.924540777818379</v>
      </c>
      <c r="Q24" s="514">
        <v>0</v>
      </c>
      <c r="R24" s="515">
        <f t="shared" si="2"/>
        <v>55.410407719523484</v>
      </c>
      <c r="S24" s="268">
        <f t="shared" si="3"/>
        <v>55.410407719523484</v>
      </c>
      <c r="T24" s="514">
        <v>0</v>
      </c>
      <c r="U24" s="515">
        <f t="shared" si="4"/>
        <v>52.815491930628504</v>
      </c>
      <c r="V24" s="268">
        <f t="shared" si="13"/>
        <v>52.815491930628504</v>
      </c>
      <c r="W24" s="263"/>
      <c r="Y24" s="516" t="str">
        <f t="shared" si="5"/>
        <v>UW</v>
      </c>
      <c r="Z24" s="517">
        <f t="shared" si="6"/>
        <v>2.6258832692005281</v>
      </c>
      <c r="AA24" s="518">
        <f t="shared" si="7"/>
        <v>2.055221484022085</v>
      </c>
      <c r="AB24" s="519">
        <f t="shared" si="8"/>
        <v>0.14936327542442135</v>
      </c>
      <c r="AC24" s="520">
        <f t="shared" si="9"/>
        <v>4.8879701445227379</v>
      </c>
      <c r="AD24" s="521">
        <f t="shared" si="9"/>
        <v>36.99396734131976</v>
      </c>
      <c r="AE24" s="522">
        <f t="shared" si="23"/>
        <v>6.5683701511093942</v>
      </c>
      <c r="AF24" s="523">
        <f t="shared" si="24"/>
        <v>12.964158285612292</v>
      </c>
      <c r="AG24" s="523">
        <f t="shared" si="12"/>
        <v>0.87849555807905577</v>
      </c>
      <c r="AI24" s="506"/>
      <c r="AJ24" s="524"/>
      <c r="AK24" s="524">
        <f t="shared" si="14"/>
        <v>106.90962598187639</v>
      </c>
      <c r="AL24" s="524">
        <f t="shared" si="15"/>
        <v>78.924540777818379</v>
      </c>
      <c r="AM24" s="524">
        <f t="shared" si="16"/>
        <v>55.410407719523484</v>
      </c>
      <c r="AN24" s="524">
        <f t="shared" si="17"/>
        <v>52.815491930628504</v>
      </c>
    </row>
    <row r="25" spans="2:40" ht="15" x14ac:dyDescent="0.25">
      <c r="B25" s="367" t="s">
        <v>79</v>
      </c>
      <c r="C25" s="354">
        <v>10.76899291829135</v>
      </c>
      <c r="D25" s="354">
        <v>27.144843314145529</v>
      </c>
      <c r="E25" s="588"/>
      <c r="F25" s="588"/>
      <c r="G25" s="587" t="b">
        <v>1</v>
      </c>
      <c r="H25" s="587" t="b">
        <v>1</v>
      </c>
      <c r="J25" s="138" t="str">
        <f t="shared" si="18"/>
        <v>Warehouse</v>
      </c>
      <c r="K25" s="514">
        <f t="shared" si="19"/>
        <v>11.22392442599233</v>
      </c>
      <c r="L25" s="515">
        <f t="shared" si="20"/>
        <v>28.583520009795265</v>
      </c>
      <c r="M25" s="268">
        <f t="shared" si="21"/>
        <v>39.807444435787595</v>
      </c>
      <c r="N25" s="514">
        <f t="shared" si="22"/>
        <v>8.408335227187461</v>
      </c>
      <c r="O25" s="515">
        <f t="shared" si="22"/>
        <v>20.008464006856684</v>
      </c>
      <c r="P25" s="268">
        <f t="shared" si="22"/>
        <v>28.416799234044145</v>
      </c>
      <c r="Q25" s="514">
        <v>0</v>
      </c>
      <c r="R25" s="515">
        <f t="shared" si="2"/>
        <v>22.862936239075754</v>
      </c>
      <c r="S25" s="268">
        <f t="shared" si="3"/>
        <v>22.862936239075754</v>
      </c>
      <c r="T25" s="514">
        <v>0</v>
      </c>
      <c r="U25" s="515">
        <f t="shared" si="4"/>
        <v>22.862936239075754</v>
      </c>
      <c r="V25" s="268">
        <f t="shared" si="13"/>
        <v>22.862936239075754</v>
      </c>
      <c r="W25" s="263"/>
      <c r="Y25" s="516" t="str">
        <f t="shared" si="5"/>
        <v>Warehouse</v>
      </c>
      <c r="Z25" s="517">
        <f t="shared" si="6"/>
        <v>0.6731518368285222</v>
      </c>
      <c r="AA25" s="518">
        <f t="shared" si="7"/>
        <v>0.50050113131077467</v>
      </c>
      <c r="AB25" s="519">
        <f t="shared" si="8"/>
        <v>6.1628910217977784E-2</v>
      </c>
      <c r="AC25" s="520">
        <f t="shared" si="9"/>
        <v>1.1220121045367579</v>
      </c>
      <c r="AD25" s="521">
        <f t="shared" si="9"/>
        <v>10.081295211182875</v>
      </c>
      <c r="AE25" s="522">
        <f t="shared" si="23"/>
        <v>7.9850146628722083</v>
      </c>
      <c r="AF25" s="523">
        <f t="shared" si="24"/>
        <v>14.650772222562871</v>
      </c>
      <c r="AG25" s="523">
        <f t="shared" si="12"/>
        <v>1.0655240145132683</v>
      </c>
      <c r="AI25" s="506"/>
      <c r="AJ25" s="524"/>
      <c r="AK25" s="524">
        <f t="shared" si="14"/>
        <v>39.807444435787595</v>
      </c>
      <c r="AL25" s="524">
        <f t="shared" si="15"/>
        <v>28.416799234044145</v>
      </c>
      <c r="AM25" s="524">
        <f t="shared" si="16"/>
        <v>22.862936239075754</v>
      </c>
      <c r="AN25" s="524">
        <f t="shared" si="17"/>
        <v>22.862936239075754</v>
      </c>
    </row>
    <row r="26" spans="2:40" ht="15" x14ac:dyDescent="0.25">
      <c r="B26" s="367"/>
      <c r="C26" s="587"/>
      <c r="D26" s="587"/>
      <c r="E26" s="588"/>
      <c r="F26" s="588"/>
      <c r="G26" s="587" t="b">
        <v>1</v>
      </c>
      <c r="H26" s="587" t="b">
        <v>1</v>
      </c>
      <c r="J26" s="138">
        <f t="shared" si="18"/>
        <v>0</v>
      </c>
      <c r="K26" s="514">
        <f t="shared" si="19"/>
        <v>0</v>
      </c>
      <c r="L26" s="515">
        <f t="shared" si="20"/>
        <v>0</v>
      </c>
      <c r="M26" s="268">
        <f t="shared" si="21"/>
        <v>0</v>
      </c>
      <c r="N26" s="514">
        <f t="shared" si="22"/>
        <v>0</v>
      </c>
      <c r="O26" s="515">
        <f t="shared" si="22"/>
        <v>0</v>
      </c>
      <c r="P26" s="268">
        <f t="shared" si="22"/>
        <v>0</v>
      </c>
      <c r="Q26" s="514">
        <v>0</v>
      </c>
      <c r="R26" s="515">
        <f t="shared" si="2"/>
        <v>0</v>
      </c>
      <c r="S26" s="268">
        <f t="shared" si="3"/>
        <v>0</v>
      </c>
      <c r="T26" s="514">
        <v>0</v>
      </c>
      <c r="U26" s="515">
        <f t="shared" si="4"/>
        <v>0</v>
      </c>
      <c r="V26" s="268">
        <f t="shared" si="13"/>
        <v>0</v>
      </c>
      <c r="W26" s="263"/>
      <c r="Y26" s="516">
        <f t="shared" si="5"/>
        <v>0</v>
      </c>
      <c r="Z26" s="517">
        <f t="shared" si="6"/>
        <v>0</v>
      </c>
      <c r="AA26" s="518">
        <f t="shared" si="7"/>
        <v>0</v>
      </c>
      <c r="AB26" s="519">
        <f t="shared" si="8"/>
        <v>0</v>
      </c>
      <c r="AC26" s="520">
        <f t="shared" si="9"/>
        <v>0</v>
      </c>
      <c r="AD26" s="521">
        <f t="shared" si="9"/>
        <v>0</v>
      </c>
      <c r="AE26" s="522" t="e">
        <f t="shared" si="23"/>
        <v>#DIV/0!</v>
      </c>
      <c r="AF26" s="523" t="e">
        <f t="shared" si="24"/>
        <v>#DIV/0!</v>
      </c>
      <c r="AG26" s="523" t="e">
        <f t="shared" si="12"/>
        <v>#DIV/0!</v>
      </c>
      <c r="AI26" s="506"/>
      <c r="AJ26" s="524"/>
      <c r="AK26" s="524">
        <f t="shared" si="14"/>
        <v>0</v>
      </c>
      <c r="AL26" s="524">
        <f t="shared" si="15"/>
        <v>0</v>
      </c>
      <c r="AM26" s="524">
        <f t="shared" si="16"/>
        <v>0</v>
      </c>
      <c r="AN26" s="524">
        <f t="shared" si="17"/>
        <v>0</v>
      </c>
    </row>
    <row r="27" spans="2:40" ht="15" x14ac:dyDescent="0.25">
      <c r="B27" s="367"/>
      <c r="C27" s="587"/>
      <c r="D27" s="587"/>
      <c r="E27" s="588"/>
      <c r="F27" s="588"/>
      <c r="G27" s="587" t="b">
        <v>1</v>
      </c>
      <c r="H27" s="587" t="b">
        <v>1</v>
      </c>
      <c r="J27" s="138">
        <f t="shared" si="18"/>
        <v>0</v>
      </c>
      <c r="K27" s="514">
        <f t="shared" si="19"/>
        <v>0</v>
      </c>
      <c r="L27" s="515">
        <f t="shared" si="20"/>
        <v>0</v>
      </c>
      <c r="M27" s="268">
        <f t="shared" si="21"/>
        <v>0</v>
      </c>
      <c r="N27" s="514">
        <f t="shared" si="22"/>
        <v>0</v>
      </c>
      <c r="O27" s="515">
        <f t="shared" si="22"/>
        <v>0</v>
      </c>
      <c r="P27" s="268">
        <f t="shared" si="22"/>
        <v>0</v>
      </c>
      <c r="Q27" s="514">
        <v>0</v>
      </c>
      <c r="R27" s="515">
        <f t="shared" si="2"/>
        <v>0</v>
      </c>
      <c r="S27" s="268">
        <f t="shared" si="3"/>
        <v>0</v>
      </c>
      <c r="T27" s="514">
        <v>0</v>
      </c>
      <c r="U27" s="515">
        <f t="shared" si="4"/>
        <v>0</v>
      </c>
      <c r="V27" s="268">
        <f t="shared" si="13"/>
        <v>0</v>
      </c>
      <c r="W27" s="263"/>
      <c r="Y27" s="516">
        <f t="shared" si="5"/>
        <v>0</v>
      </c>
      <c r="Z27" s="517">
        <f t="shared" si="6"/>
        <v>0</v>
      </c>
      <c r="AA27" s="518">
        <f t="shared" si="7"/>
        <v>0</v>
      </c>
      <c r="AB27" s="519">
        <f t="shared" si="8"/>
        <v>0</v>
      </c>
      <c r="AC27" s="520">
        <f t="shared" si="9"/>
        <v>0</v>
      </c>
      <c r="AD27" s="521">
        <f t="shared" si="9"/>
        <v>0</v>
      </c>
      <c r="AE27" s="522" t="e">
        <f t="shared" si="23"/>
        <v>#DIV/0!</v>
      </c>
      <c r="AF27" s="523" t="e">
        <f t="shared" si="24"/>
        <v>#DIV/0!</v>
      </c>
      <c r="AG27" s="523" t="e">
        <f t="shared" si="12"/>
        <v>#DIV/0!</v>
      </c>
      <c r="AJ27" s="524"/>
      <c r="AK27" s="524">
        <f t="shared" si="14"/>
        <v>0</v>
      </c>
      <c r="AL27" s="524">
        <f t="shared" si="15"/>
        <v>0</v>
      </c>
      <c r="AM27" s="524">
        <f t="shared" si="16"/>
        <v>0</v>
      </c>
      <c r="AN27" s="524">
        <f t="shared" si="17"/>
        <v>0</v>
      </c>
    </row>
    <row r="28" spans="2:40" ht="15" x14ac:dyDescent="0.25">
      <c r="B28" s="367"/>
      <c r="C28" s="587"/>
      <c r="D28" s="587"/>
      <c r="E28" s="588"/>
      <c r="F28" s="588"/>
      <c r="G28" s="587" t="b">
        <v>1</v>
      </c>
      <c r="H28" s="587" t="b">
        <v>1</v>
      </c>
      <c r="J28" s="138">
        <f t="shared" si="18"/>
        <v>0</v>
      </c>
      <c r="K28" s="514">
        <f t="shared" si="19"/>
        <v>0</v>
      </c>
      <c r="L28" s="515">
        <f t="shared" si="20"/>
        <v>0</v>
      </c>
      <c r="M28" s="268">
        <f t="shared" si="21"/>
        <v>0</v>
      </c>
      <c r="N28" s="514">
        <f t="shared" si="22"/>
        <v>0</v>
      </c>
      <c r="O28" s="515">
        <f t="shared" si="22"/>
        <v>0</v>
      </c>
      <c r="P28" s="268">
        <f t="shared" si="22"/>
        <v>0</v>
      </c>
      <c r="Q28" s="514">
        <v>0</v>
      </c>
      <c r="R28" s="515">
        <f t="shared" si="2"/>
        <v>0</v>
      </c>
      <c r="S28" s="268">
        <f t="shared" si="3"/>
        <v>0</v>
      </c>
      <c r="T28" s="514">
        <v>0</v>
      </c>
      <c r="U28" s="515">
        <f t="shared" si="4"/>
        <v>0</v>
      </c>
      <c r="V28" s="268">
        <f t="shared" si="13"/>
        <v>0</v>
      </c>
      <c r="W28" s="263"/>
      <c r="Y28" s="516">
        <f t="shared" si="5"/>
        <v>0</v>
      </c>
      <c r="Z28" s="517">
        <f t="shared" si="6"/>
        <v>0</v>
      </c>
      <c r="AA28" s="518">
        <f t="shared" si="7"/>
        <v>0</v>
      </c>
      <c r="AB28" s="519">
        <f t="shared" si="8"/>
        <v>0</v>
      </c>
      <c r="AC28" s="520">
        <f t="shared" ref="AC28:AD30" si="25">AN52</f>
        <v>0</v>
      </c>
      <c r="AD28" s="521">
        <f t="shared" si="25"/>
        <v>0</v>
      </c>
      <c r="AE28" s="522" t="e">
        <f t="shared" si="23"/>
        <v>#DIV/0!</v>
      </c>
      <c r="AF28" s="523" t="e">
        <f t="shared" si="24"/>
        <v>#DIV/0!</v>
      </c>
      <c r="AG28" s="523" t="e">
        <f t="shared" si="12"/>
        <v>#DIV/0!</v>
      </c>
      <c r="AJ28" s="524"/>
      <c r="AK28" s="524">
        <f t="shared" si="14"/>
        <v>0</v>
      </c>
      <c r="AL28" s="524">
        <f t="shared" si="15"/>
        <v>0</v>
      </c>
      <c r="AM28" s="524">
        <f t="shared" si="16"/>
        <v>0</v>
      </c>
      <c r="AN28" s="524">
        <f t="shared" si="17"/>
        <v>0</v>
      </c>
    </row>
    <row r="29" spans="2:40" ht="15" x14ac:dyDescent="0.25">
      <c r="B29" s="367"/>
      <c r="C29" s="587"/>
      <c r="D29" s="587"/>
      <c r="E29" s="588"/>
      <c r="F29" s="588"/>
      <c r="G29" s="587" t="b">
        <v>1</v>
      </c>
      <c r="H29" s="587" t="b">
        <v>1</v>
      </c>
      <c r="J29" s="138">
        <f t="shared" si="18"/>
        <v>0</v>
      </c>
      <c r="K29" s="514">
        <f t="shared" si="19"/>
        <v>0</v>
      </c>
      <c r="L29" s="515">
        <f t="shared" si="20"/>
        <v>0</v>
      </c>
      <c r="M29" s="268">
        <f t="shared" si="21"/>
        <v>0</v>
      </c>
      <c r="N29" s="514">
        <f t="shared" si="22"/>
        <v>0</v>
      </c>
      <c r="O29" s="515">
        <f t="shared" si="22"/>
        <v>0</v>
      </c>
      <c r="P29" s="268">
        <f t="shared" si="22"/>
        <v>0</v>
      </c>
      <c r="Q29" s="514">
        <v>0</v>
      </c>
      <c r="R29" s="515">
        <f t="shared" si="2"/>
        <v>0</v>
      </c>
      <c r="S29" s="268">
        <f t="shared" si="3"/>
        <v>0</v>
      </c>
      <c r="T29" s="514">
        <v>0</v>
      </c>
      <c r="U29" s="515">
        <f t="shared" si="4"/>
        <v>0</v>
      </c>
      <c r="V29" s="268">
        <f t="shared" si="13"/>
        <v>0</v>
      </c>
      <c r="W29" s="263"/>
      <c r="Y29" s="516">
        <f t="shared" si="5"/>
        <v>0</v>
      </c>
      <c r="Z29" s="517">
        <f t="shared" si="6"/>
        <v>0</v>
      </c>
      <c r="AA29" s="518">
        <f t="shared" si="7"/>
        <v>0</v>
      </c>
      <c r="AB29" s="519">
        <f t="shared" si="8"/>
        <v>0</v>
      </c>
      <c r="AC29" s="520">
        <f t="shared" si="25"/>
        <v>0</v>
      </c>
      <c r="AD29" s="521">
        <f t="shared" si="25"/>
        <v>0</v>
      </c>
      <c r="AE29" s="522" t="e">
        <f t="shared" si="23"/>
        <v>#DIV/0!</v>
      </c>
      <c r="AF29" s="523" t="e">
        <f t="shared" si="24"/>
        <v>#DIV/0!</v>
      </c>
      <c r="AG29" s="523" t="e">
        <f t="shared" si="12"/>
        <v>#DIV/0!</v>
      </c>
      <c r="AJ29" s="524"/>
      <c r="AK29" s="524">
        <f t="shared" si="14"/>
        <v>0</v>
      </c>
      <c r="AL29" s="524">
        <f t="shared" si="15"/>
        <v>0</v>
      </c>
      <c r="AM29" s="524">
        <f t="shared" si="16"/>
        <v>0</v>
      </c>
      <c r="AN29" s="524">
        <f t="shared" si="17"/>
        <v>0</v>
      </c>
    </row>
    <row r="30" spans="2:40" ht="15" x14ac:dyDescent="0.25">
      <c r="B30" s="367"/>
      <c r="C30" s="587"/>
      <c r="D30" s="587"/>
      <c r="E30" s="588"/>
      <c r="F30" s="588"/>
      <c r="G30" s="587" t="b">
        <v>1</v>
      </c>
      <c r="H30" s="587" t="b">
        <v>1</v>
      </c>
      <c r="J30" s="138">
        <f t="shared" si="18"/>
        <v>0</v>
      </c>
      <c r="K30" s="514">
        <f t="shared" si="19"/>
        <v>0</v>
      </c>
      <c r="L30" s="515">
        <f t="shared" si="20"/>
        <v>0</v>
      </c>
      <c r="M30" s="268">
        <f t="shared" si="21"/>
        <v>0</v>
      </c>
      <c r="N30" s="514">
        <f t="shared" si="22"/>
        <v>0</v>
      </c>
      <c r="O30" s="515">
        <f t="shared" si="22"/>
        <v>0</v>
      </c>
      <c r="P30" s="268">
        <f t="shared" si="22"/>
        <v>0</v>
      </c>
      <c r="Q30" s="514">
        <v>0</v>
      </c>
      <c r="R30" s="515">
        <f t="shared" si="2"/>
        <v>0</v>
      </c>
      <c r="S30" s="268">
        <f t="shared" si="3"/>
        <v>0</v>
      </c>
      <c r="T30" s="514">
        <v>0</v>
      </c>
      <c r="U30" s="515">
        <f t="shared" si="4"/>
        <v>0</v>
      </c>
      <c r="V30" s="268">
        <f t="shared" si="13"/>
        <v>0</v>
      </c>
      <c r="W30" s="263"/>
      <c r="Y30" s="516">
        <f t="shared" si="5"/>
        <v>0</v>
      </c>
      <c r="Z30" s="517">
        <f t="shared" si="6"/>
        <v>0</v>
      </c>
      <c r="AA30" s="518">
        <f t="shared" si="7"/>
        <v>0</v>
      </c>
      <c r="AB30" s="519">
        <f t="shared" si="8"/>
        <v>0</v>
      </c>
      <c r="AC30" s="520">
        <f t="shared" si="25"/>
        <v>0</v>
      </c>
      <c r="AD30" s="521">
        <f t="shared" si="25"/>
        <v>0</v>
      </c>
      <c r="AE30" s="522" t="e">
        <f t="shared" si="23"/>
        <v>#DIV/0!</v>
      </c>
      <c r="AF30" s="523" t="e">
        <f t="shared" si="24"/>
        <v>#DIV/0!</v>
      </c>
      <c r="AG30" s="523" t="e">
        <f t="shared" si="12"/>
        <v>#DIV/0!</v>
      </c>
      <c r="AJ30" s="524"/>
      <c r="AK30" s="524">
        <f t="shared" si="14"/>
        <v>0</v>
      </c>
      <c r="AL30" s="524">
        <f t="shared" si="15"/>
        <v>0</v>
      </c>
      <c r="AM30" s="524">
        <f t="shared" si="16"/>
        <v>0</v>
      </c>
      <c r="AN30" s="524">
        <f t="shared" si="17"/>
        <v>0</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Seattle</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26">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535</v>
      </c>
      <c r="C36" s="525">
        <f t="shared" ref="C36:C54" si="27">F12</f>
        <v>0</v>
      </c>
      <c r="D36" s="526" t="b">
        <f t="shared" ref="D36:D54" si="28">E12&gt;=D$34+0</f>
        <v>0</v>
      </c>
      <c r="E36" s="526" t="str">
        <f t="shared" ref="E36:E54" si="29">IF(D36=TRUE,"City","CBECS")</f>
        <v>CBECS</v>
      </c>
      <c r="F36" s="617">
        <f t="shared" ref="F36:F49" si="30">G36+H36</f>
        <v>39.914555030062367</v>
      </c>
      <c r="G36" s="531">
        <f>I36+J36</f>
        <v>30.520456706628707</v>
      </c>
      <c r="H36" s="531">
        <f>SUM(K36:N36)</f>
        <v>9.3940983234336617</v>
      </c>
      <c r="I36" s="531">
        <v>11.524103724374966</v>
      </c>
      <c r="J36" s="531">
        <v>18.996352982253743</v>
      </c>
      <c r="K36" s="532">
        <v>2.6385327363060016</v>
      </c>
      <c r="L36" s="532">
        <v>2.0186983420567159</v>
      </c>
      <c r="M36" s="532">
        <v>4.7368672450709441</v>
      </c>
      <c r="N36" s="532">
        <v>0</v>
      </c>
      <c r="O36" s="612"/>
      <c r="P36" s="526"/>
      <c r="Q36" s="525">
        <f t="shared" ref="Q36:Q54" si="31">K36*(1-G$4)</f>
        <v>1.8469729154142009</v>
      </c>
      <c r="R36" s="525">
        <f t="shared" ref="R36:R54" si="32">L36*(1-G$5)</f>
        <v>2.0186983420567159</v>
      </c>
      <c r="S36" s="525">
        <f t="shared" ref="S36:S54" si="33">M36*(1-G$6)</f>
        <v>4.7368672450709441</v>
      </c>
      <c r="T36" s="525">
        <f t="shared" ref="T36:T54" si="34">N36*(1-G$7)</f>
        <v>0</v>
      </c>
      <c r="U36" s="526"/>
      <c r="V36" s="525">
        <f t="shared" ref="V36:V38" si="35">SUM(Q36:T36)</f>
        <v>8.6025385025418615</v>
      </c>
      <c r="W36" s="533">
        <f t="shared" ref="W36:W54" si="36">G36*(1-$G$3)</f>
        <v>21.364319694640095</v>
      </c>
      <c r="X36" s="533">
        <f t="shared" ref="X36:X38" si="37">W36+V36</f>
        <v>29.966858197181956</v>
      </c>
      <c r="Y36" s="526"/>
      <c r="Z36" s="525">
        <f>SUMPRODUCT(Q36:T36,'Electrification of Gas End Uses'!$D$4:$G$4)</f>
        <v>4.3025704009873245</v>
      </c>
      <c r="AA36" s="533">
        <f t="shared" ref="AA36:AA38" si="38">W36</f>
        <v>21.364319694640095</v>
      </c>
      <c r="AB36" s="533">
        <f t="shared" ref="AB36:AB38" si="39">AA36+Z36</f>
        <v>25.666890095627419</v>
      </c>
      <c r="AD36" s="525">
        <f t="shared" ref="AD36:AD38" si="40">IF($AD$59&lt;Q36,$AD$59,Q36)</f>
        <v>1.8469729154142009</v>
      </c>
      <c r="AE36" s="538">
        <f t="shared" ref="AE36:AF51" si="41">R36</f>
        <v>2.0186983420567159</v>
      </c>
      <c r="AF36" s="538">
        <f t="shared" si="41"/>
        <v>4.7368672450709441</v>
      </c>
      <c r="AG36" s="538">
        <f t="shared" si="26"/>
        <v>0</v>
      </c>
      <c r="AH36" s="538">
        <f t="shared" ref="AH36:AH54" si="42">J36*(1-$G$3)</f>
        <v>13.29744708757762</v>
      </c>
      <c r="AI36" s="539">
        <f t="shared" ref="AI36:AI54" si="43">IF(AND(AP36&gt;I36*0.7,AP36&lt;I36),AP36,I36*0.7)</f>
        <v>8.066872607062475</v>
      </c>
      <c r="AJ36" s="525">
        <f>SUMPRODUCT(AD36:AG36,'Electrification of Gas End Uses'!$D$4:$G$4)</f>
        <v>4.3025704009873245</v>
      </c>
      <c r="AK36" s="533">
        <f t="shared" ref="AK36:AK38" si="44">SUM(AH36:AI36)</f>
        <v>21.364319694640095</v>
      </c>
      <c r="AL36" s="533">
        <f t="shared" ref="AL36:AL54" si="45">AK36+AJ36</f>
        <v>25.666890095627419</v>
      </c>
      <c r="AN36" s="534">
        <f>SUMPRODUCT(K36:N36,'Electrification of Gas End Uses'!$D$5:$G$5)</f>
        <v>4.0620278136218309</v>
      </c>
      <c r="AO36" s="521">
        <f>SUMPRODUCT(K36:N36,'Electrification of Gas End Uses'!$D$6:$G$6)</f>
        <v>6.6032430778127864</v>
      </c>
      <c r="AP36" s="540">
        <f>(AH$57+IF(AH36&gt;(AH$60),AH36-AH$60,0))*(1+$AH$59)/'Electrification of Gas End Uses'!$D$12</f>
        <v>4.8712988350310473</v>
      </c>
      <c r="AQ36" s="541">
        <f t="shared" ref="AQ36:AQ54" si="46">1-AI36/(I36*(1-$G$3))</f>
        <v>0</v>
      </c>
    </row>
    <row r="37" spans="1:43" ht="14.25" x14ac:dyDescent="0.2">
      <c r="B37" s="367" t="s">
        <v>536</v>
      </c>
      <c r="C37" s="525">
        <f t="shared" si="27"/>
        <v>0</v>
      </c>
      <c r="D37" s="526" t="b">
        <f t="shared" si="28"/>
        <v>0</v>
      </c>
      <c r="E37" s="526" t="str">
        <f t="shared" si="29"/>
        <v>CBECS</v>
      </c>
      <c r="F37" s="617">
        <f t="shared" si="30"/>
        <v>36.154950325290741</v>
      </c>
      <c r="G37" s="531">
        <f t="shared" ref="G37:G49" si="47">I37+J37</f>
        <v>26.471220761404446</v>
      </c>
      <c r="H37" s="531">
        <f t="shared" ref="H37:H49" si="48">SUM(K37:N37)</f>
        <v>9.683729563886299</v>
      </c>
      <c r="I37" s="531">
        <v>13.132282537677758</v>
      </c>
      <c r="J37" s="531">
        <v>13.338938223726688</v>
      </c>
      <c r="K37" s="532">
        <v>0.58219639460547723</v>
      </c>
      <c r="L37" s="532">
        <v>1.5335899575690934</v>
      </c>
      <c r="M37" s="532">
        <v>7.5679432117117287</v>
      </c>
      <c r="N37" s="532">
        <v>0</v>
      </c>
      <c r="O37" s="612"/>
      <c r="P37" s="526"/>
      <c r="Q37" s="525">
        <f t="shared" si="31"/>
        <v>0.40753747622383402</v>
      </c>
      <c r="R37" s="525">
        <f t="shared" si="32"/>
        <v>1.5335899575690934</v>
      </c>
      <c r="S37" s="525">
        <f t="shared" si="33"/>
        <v>7.5679432117117287</v>
      </c>
      <c r="T37" s="525">
        <f t="shared" si="34"/>
        <v>0</v>
      </c>
      <c r="U37" s="526"/>
      <c r="V37" s="525">
        <f t="shared" si="35"/>
        <v>9.5090706455046554</v>
      </c>
      <c r="W37" s="533">
        <f t="shared" si="36"/>
        <v>18.529854532983112</v>
      </c>
      <c r="X37" s="533">
        <f t="shared" si="37"/>
        <v>28.038925178487766</v>
      </c>
      <c r="Y37" s="526"/>
      <c r="Z37" s="525">
        <f>SUMPRODUCT(Q37:T37,'Electrification of Gas End Uses'!$D$4:$G$4)</f>
        <v>5.3681941311705517</v>
      </c>
      <c r="AA37" s="533">
        <f t="shared" si="38"/>
        <v>18.529854532983112</v>
      </c>
      <c r="AB37" s="533">
        <f t="shared" si="39"/>
        <v>23.898048664153663</v>
      </c>
      <c r="AD37" s="525">
        <f t="shared" si="40"/>
        <v>0.40753747622383402</v>
      </c>
      <c r="AE37" s="538">
        <f t="shared" si="41"/>
        <v>1.5335899575690934</v>
      </c>
      <c r="AF37" s="538">
        <f t="shared" si="41"/>
        <v>7.5679432117117287</v>
      </c>
      <c r="AG37" s="538">
        <f t="shared" si="26"/>
        <v>0</v>
      </c>
      <c r="AH37" s="538">
        <f t="shared" si="42"/>
        <v>9.3372567566086815</v>
      </c>
      <c r="AI37" s="539">
        <f t="shared" si="43"/>
        <v>9.1925977763744307</v>
      </c>
      <c r="AJ37" s="525">
        <f>SUMPRODUCT(AD37:AG37,'Electrification of Gas End Uses'!$D$4:$G$4)</f>
        <v>5.3681941311705517</v>
      </c>
      <c r="AK37" s="533">
        <f t="shared" si="44"/>
        <v>18.529854532983112</v>
      </c>
      <c r="AL37" s="533">
        <f t="shared" si="45"/>
        <v>23.898048664153663</v>
      </c>
      <c r="AN37" s="534">
        <f>SUMPRODUCT(K37:N37,'Electrification of Gas End Uses'!$D$5:$G$5)</f>
        <v>5.953727882815703</v>
      </c>
      <c r="AO37" s="521">
        <f>SUMPRODUCT(K37:N37,'Electrification of Gas End Uses'!$D$6:$G$6)</f>
        <v>6.4216343132839562</v>
      </c>
      <c r="AP37" s="540">
        <f>(AH$57+IF(AH37&gt;(AH$60),AH37-AH$60,0))*(1+$AH$59)/'Electrification of Gas End Uses'!$D$12</f>
        <v>3.2872227026434722</v>
      </c>
      <c r="AQ37" s="541">
        <f t="shared" si="46"/>
        <v>0</v>
      </c>
    </row>
    <row r="38" spans="1:43" ht="14.25" x14ac:dyDescent="0.2">
      <c r="B38" s="367" t="s">
        <v>537</v>
      </c>
      <c r="C38" s="525">
        <f t="shared" si="27"/>
        <v>0</v>
      </c>
      <c r="D38" s="526" t="b">
        <f t="shared" si="28"/>
        <v>0</v>
      </c>
      <c r="E38" s="526" t="str">
        <f t="shared" si="29"/>
        <v>CBECS</v>
      </c>
      <c r="F38" s="617">
        <f t="shared" si="30"/>
        <v>48.505928181515159</v>
      </c>
      <c r="G38" s="531">
        <f t="shared" si="47"/>
        <v>31.259550433329444</v>
      </c>
      <c r="H38" s="531">
        <f t="shared" si="48"/>
        <v>17.246377748185711</v>
      </c>
      <c r="I38" s="531">
        <v>21.200291453530212</v>
      </c>
      <c r="J38" s="531">
        <v>10.059258979799234</v>
      </c>
      <c r="K38" s="532">
        <v>5.4502740206552955</v>
      </c>
      <c r="L38" s="532">
        <v>8.3534180266360529</v>
      </c>
      <c r="M38" s="532">
        <v>3.4426857008943625</v>
      </c>
      <c r="N38" s="532">
        <v>0</v>
      </c>
      <c r="O38" s="612"/>
      <c r="P38" s="526"/>
      <c r="Q38" s="525">
        <f t="shared" si="31"/>
        <v>3.8151918144587067</v>
      </c>
      <c r="R38" s="525">
        <f t="shared" si="32"/>
        <v>8.3534180266360529</v>
      </c>
      <c r="S38" s="525">
        <f t="shared" si="33"/>
        <v>3.4426857008943625</v>
      </c>
      <c r="T38" s="525">
        <f t="shared" si="34"/>
        <v>0</v>
      </c>
      <c r="U38" s="526"/>
      <c r="V38" s="525">
        <f t="shared" si="35"/>
        <v>15.611295541989122</v>
      </c>
      <c r="W38" s="533">
        <f t="shared" si="36"/>
        <v>21.88168530333061</v>
      </c>
      <c r="X38" s="533">
        <f t="shared" si="37"/>
        <v>37.492980845319735</v>
      </c>
      <c r="Y38" s="526"/>
      <c r="Z38" s="525">
        <f>SUMPRODUCT(Q38:T38,'Electrification of Gas End Uses'!$D$4:$G$4)</f>
        <v>6.7354589909041209</v>
      </c>
      <c r="AA38" s="533">
        <f t="shared" si="38"/>
        <v>21.88168530333061</v>
      </c>
      <c r="AB38" s="533">
        <f t="shared" si="39"/>
        <v>28.61714429423473</v>
      </c>
      <c r="AD38" s="525">
        <f t="shared" si="40"/>
        <v>3.8151918144587067</v>
      </c>
      <c r="AE38" s="538">
        <f t="shared" si="41"/>
        <v>8.3534180266360529</v>
      </c>
      <c r="AF38" s="538">
        <f t="shared" si="41"/>
        <v>3.4426857008943625</v>
      </c>
      <c r="AG38" s="538">
        <f t="shared" si="26"/>
        <v>0</v>
      </c>
      <c r="AH38" s="538">
        <f t="shared" si="42"/>
        <v>7.0414812858594633</v>
      </c>
      <c r="AI38" s="539">
        <f t="shared" si="43"/>
        <v>14.840204017471148</v>
      </c>
      <c r="AJ38" s="525">
        <f>SUMPRODUCT(AD38:AG38,'Electrification of Gas End Uses'!$D$4:$G$4)</f>
        <v>6.7354589909041209</v>
      </c>
      <c r="AK38" s="533">
        <f t="shared" si="44"/>
        <v>21.881685303330613</v>
      </c>
      <c r="AL38" s="533">
        <f t="shared" si="45"/>
        <v>28.617144294234734</v>
      </c>
      <c r="AN38" s="534">
        <f>SUMPRODUCT(K38:N38,'Electrification of Gas End Uses'!$D$5:$G$5)</f>
        <v>4.0173605887844586</v>
      </c>
      <c r="AO38" s="521">
        <f>SUMPRODUCT(K38:N38,'Electrification of Gas End Uses'!$D$6:$G$6)</f>
        <v>10.01873614984571</v>
      </c>
      <c r="AP38" s="540">
        <f>(AH$57+IF(AH38&gt;(AH$60),AH38-AH$60,0))*(1+$AH$59)/'Electrification of Gas End Uses'!$D$12</f>
        <v>2.3689125143437848</v>
      </c>
      <c r="AQ38" s="541">
        <f t="shared" si="46"/>
        <v>0</v>
      </c>
    </row>
    <row r="39" spans="1:43" ht="14.25" x14ac:dyDescent="0.2">
      <c r="B39" s="367" t="s">
        <v>538</v>
      </c>
      <c r="C39" s="525">
        <f t="shared" si="27"/>
        <v>0</v>
      </c>
      <c r="D39" s="526" t="b">
        <f t="shared" si="28"/>
        <v>0</v>
      </c>
      <c r="E39" s="526" t="str">
        <f t="shared" si="29"/>
        <v>CBECS</v>
      </c>
      <c r="F39" s="617">
        <f t="shared" si="30"/>
        <v>74.964102721225331</v>
      </c>
      <c r="G39" s="531">
        <f t="shared" si="47"/>
        <v>56.130768677396034</v>
      </c>
      <c r="H39" s="531">
        <f t="shared" si="48"/>
        <v>18.8333340438293</v>
      </c>
      <c r="I39" s="531">
        <v>15.505921323567501</v>
      </c>
      <c r="J39" s="531">
        <v>40.624847353828535</v>
      </c>
      <c r="K39" s="532">
        <v>13.629156194569056</v>
      </c>
      <c r="L39" s="532">
        <v>5.204177849260244</v>
      </c>
      <c r="M39" s="532">
        <v>0</v>
      </c>
      <c r="N39" s="532">
        <v>0</v>
      </c>
      <c r="O39" s="612"/>
      <c r="P39" s="526"/>
      <c r="Q39" s="525">
        <f t="shared" si="31"/>
        <v>9.5404093361983389</v>
      </c>
      <c r="R39" s="525">
        <f t="shared" si="32"/>
        <v>5.204177849260244</v>
      </c>
      <c r="S39" s="525">
        <f t="shared" si="33"/>
        <v>0</v>
      </c>
      <c r="T39" s="525">
        <f t="shared" si="34"/>
        <v>0</v>
      </c>
      <c r="U39" s="525"/>
      <c r="V39" s="525">
        <f t="shared" ref="V39:V54" si="49">SUM(Q39:T39)</f>
        <v>14.744587185458583</v>
      </c>
      <c r="W39" s="533">
        <f t="shared" si="36"/>
        <v>39.291538074177218</v>
      </c>
      <c r="X39" s="533">
        <f>W39+V39</f>
        <v>54.036125259635803</v>
      </c>
      <c r="Y39" s="526"/>
      <c r="Z39" s="525">
        <f>SUMPRODUCT(Q39:T39,'Electrification of Gas End Uses'!$D$4:$G$4)</f>
        <v>5.1819128350081138</v>
      </c>
      <c r="AA39" s="533">
        <f>W39</f>
        <v>39.291538074177218</v>
      </c>
      <c r="AB39" s="533">
        <f>AA39+Z39</f>
        <v>44.473450909185331</v>
      </c>
      <c r="AD39" s="525">
        <f t="shared" ref="AD39:AD54" si="50">IF($AD$59&lt;Q39,$AD$59,Q39)</f>
        <v>9.5404093361983389</v>
      </c>
      <c r="AE39" s="538">
        <f>R39</f>
        <v>5.204177849260244</v>
      </c>
      <c r="AF39" s="538">
        <f t="shared" si="41"/>
        <v>0</v>
      </c>
      <c r="AG39" s="538">
        <f t="shared" si="26"/>
        <v>0</v>
      </c>
      <c r="AH39" s="538">
        <f t="shared" si="42"/>
        <v>28.437393147679973</v>
      </c>
      <c r="AI39" s="539">
        <f t="shared" si="43"/>
        <v>10.927277259071989</v>
      </c>
      <c r="AJ39" s="525">
        <f>SUMPRODUCT(AD39:AG39,'Electrification of Gas End Uses'!$D$4:$G$4)</f>
        <v>5.1819128350081138</v>
      </c>
      <c r="AK39" s="533">
        <f>SUM(AH39:AI39)</f>
        <v>39.364670406751962</v>
      </c>
      <c r="AL39" s="533">
        <f t="shared" si="45"/>
        <v>44.546583241760075</v>
      </c>
      <c r="AN39" s="534">
        <f>SUMPRODUCT(K39:N39,'Electrification of Gas End Uses'!$D$5:$G$5)</f>
        <v>1.8923515724588631</v>
      </c>
      <c r="AO39" s="521">
        <f>SUMPRODUCT(K39:N39,'Electrification of Gas End Uses'!$D$6:$G$6)</f>
        <v>15.222862515149343</v>
      </c>
      <c r="AP39" s="540">
        <f>(AH$57+IF(AH39&gt;(AH$60),AH39-AH$60,0))*(1+$AH$59)/'Electrification of Gas End Uses'!$D$12</f>
        <v>10.927277259071989</v>
      </c>
      <c r="AQ39" s="541">
        <f t="shared" si="46"/>
        <v>-6.7377331950126962E-3</v>
      </c>
    </row>
    <row r="40" spans="1:43" ht="14.25" x14ac:dyDescent="0.2">
      <c r="B40" s="367" t="s">
        <v>539</v>
      </c>
      <c r="C40" s="525">
        <f t="shared" si="27"/>
        <v>0</v>
      </c>
      <c r="D40" s="526" t="b">
        <f t="shared" si="28"/>
        <v>0</v>
      </c>
      <c r="E40" s="526" t="str">
        <f t="shared" si="29"/>
        <v>CBECS</v>
      </c>
      <c r="F40" s="617">
        <f t="shared" si="30"/>
        <v>209.88713327302915</v>
      </c>
      <c r="G40" s="531">
        <f t="shared" si="47"/>
        <v>155.30142899148535</v>
      </c>
      <c r="H40" s="531">
        <f t="shared" si="48"/>
        <v>54.585704281543798</v>
      </c>
      <c r="I40" s="531">
        <v>12.050544742505901</v>
      </c>
      <c r="J40" s="531">
        <v>143.25088424897945</v>
      </c>
      <c r="K40" s="532">
        <v>26.4037810750274</v>
      </c>
      <c r="L40" s="532">
        <v>18.896432022577599</v>
      </c>
      <c r="M40" s="532">
        <v>9.2854911839388006</v>
      </c>
      <c r="N40" s="532">
        <v>0</v>
      </c>
      <c r="O40" s="612"/>
      <c r="P40" s="526"/>
      <c r="Q40" s="525">
        <f t="shared" si="31"/>
        <v>18.48264675251918</v>
      </c>
      <c r="R40" s="525">
        <f t="shared" si="32"/>
        <v>18.896432022577599</v>
      </c>
      <c r="S40" s="525">
        <f t="shared" si="33"/>
        <v>9.2854911839388006</v>
      </c>
      <c r="T40" s="525">
        <f t="shared" si="34"/>
        <v>0</v>
      </c>
      <c r="U40" s="525"/>
      <c r="V40" s="525">
        <f t="shared" si="49"/>
        <v>46.664569959035582</v>
      </c>
      <c r="W40" s="533">
        <f t="shared" si="36"/>
        <v>108.71100029403974</v>
      </c>
      <c r="X40" s="533">
        <f t="shared" ref="X40:X54" si="51">W40+V40</f>
        <v>155.37557025307532</v>
      </c>
      <c r="Y40" s="526"/>
      <c r="Z40" s="525">
        <f>SUMPRODUCT(Q40:T40,'Electrification of Gas End Uses'!$D$4:$G$4)</f>
        <v>19.301543215690288</v>
      </c>
      <c r="AA40" s="533">
        <f t="shared" ref="AA40:AA54" si="52">W40</f>
        <v>108.71100029403974</v>
      </c>
      <c r="AB40" s="533">
        <f t="shared" ref="AB40:AB54" si="53">AA40+Z40</f>
        <v>128.01254350973002</v>
      </c>
      <c r="AD40" s="525">
        <f t="shared" si="50"/>
        <v>9.8999999999999986</v>
      </c>
      <c r="AE40" s="538">
        <f t="shared" ref="AE40:AF54" si="54">R40</f>
        <v>18.896432022577599</v>
      </c>
      <c r="AF40" s="538">
        <f t="shared" si="41"/>
        <v>9.2854911839388006</v>
      </c>
      <c r="AG40" s="538">
        <f t="shared" si="26"/>
        <v>0</v>
      </c>
      <c r="AH40" s="538">
        <f t="shared" si="42"/>
        <v>100.27561897428561</v>
      </c>
      <c r="AI40" s="539">
        <f t="shared" si="43"/>
        <v>8.4353813197541303</v>
      </c>
      <c r="AJ40" s="525">
        <f>SUMPRODUCT(AD40:AG40,'Electrification of Gas End Uses'!$D$4:$G$4)</f>
        <v>16.555096254884152</v>
      </c>
      <c r="AK40" s="533">
        <f t="shared" ref="AK40:AK54" si="55">SUM(AH40:AI40)</f>
        <v>108.71100029403974</v>
      </c>
      <c r="AL40" s="533">
        <f t="shared" si="45"/>
        <v>125.26609654892388</v>
      </c>
      <c r="AN40" s="534">
        <f>SUMPRODUCT(K40:N40,'Electrification of Gas End Uses'!$D$5:$G$5)</f>
        <v>11.619564286091475</v>
      </c>
      <c r="AO40" s="521">
        <f>SUMPRODUCT(K40:N40,'Electrification of Gas End Uses'!$D$6:$G$6)</f>
        <v>38.230088956074042</v>
      </c>
      <c r="AP40" s="540">
        <f>(AH$57+IF(AH40&gt;(AH$60),AH40-AH$60,0))*(1+$AH$59)/'Electrification of Gas End Uses'!$D$12</f>
        <v>39.662567589714243</v>
      </c>
      <c r="AQ40" s="541">
        <f t="shared" si="46"/>
        <v>0</v>
      </c>
    </row>
    <row r="41" spans="1:43" ht="14.25" x14ac:dyDescent="0.2">
      <c r="B41" s="367" t="s">
        <v>540</v>
      </c>
      <c r="C41" s="525">
        <f t="shared" si="27"/>
        <v>0</v>
      </c>
      <c r="D41" s="526" t="b">
        <f t="shared" si="28"/>
        <v>0</v>
      </c>
      <c r="E41" s="526" t="str">
        <f t="shared" si="29"/>
        <v>CBECS</v>
      </c>
      <c r="F41" s="617">
        <f t="shared" si="30"/>
        <v>199.80908018152348</v>
      </c>
      <c r="G41" s="531">
        <f t="shared" si="47"/>
        <v>96.40828746031093</v>
      </c>
      <c r="H41" s="531">
        <f t="shared" si="48"/>
        <v>103.40079272121255</v>
      </c>
      <c r="I41" s="531">
        <v>38.557047176524399</v>
      </c>
      <c r="J41" s="531">
        <v>57.851240283786531</v>
      </c>
      <c r="K41" s="532">
        <v>53.199885622848399</v>
      </c>
      <c r="L41" s="532">
        <v>47.975460361178499</v>
      </c>
      <c r="M41" s="532">
        <v>2.2254467371856501</v>
      </c>
      <c r="N41" s="532">
        <v>0</v>
      </c>
      <c r="O41" s="612"/>
      <c r="P41" s="526"/>
      <c r="Q41" s="525">
        <f t="shared" si="31"/>
        <v>37.239919935993875</v>
      </c>
      <c r="R41" s="525">
        <f t="shared" si="32"/>
        <v>47.975460361178499</v>
      </c>
      <c r="S41" s="525">
        <f t="shared" si="33"/>
        <v>2.2254467371856501</v>
      </c>
      <c r="T41" s="525">
        <f t="shared" si="34"/>
        <v>0</v>
      </c>
      <c r="U41" s="525"/>
      <c r="V41" s="525">
        <f t="shared" si="49"/>
        <v>87.440827034358023</v>
      </c>
      <c r="W41" s="533">
        <f t="shared" si="36"/>
        <v>67.485801222217646</v>
      </c>
      <c r="X41" s="533">
        <f t="shared" si="51"/>
        <v>154.92662825657567</v>
      </c>
      <c r="Y41" s="526"/>
      <c r="Z41" s="525">
        <f>SUMPRODUCT(Q41:T41,'Electrification of Gas End Uses'!$D$4:$G$4)</f>
        <v>32.898845172598278</v>
      </c>
      <c r="AA41" s="533">
        <f t="shared" si="52"/>
        <v>67.485801222217646</v>
      </c>
      <c r="AB41" s="533">
        <f t="shared" si="53"/>
        <v>100.38464639481592</v>
      </c>
      <c r="AD41" s="525">
        <f t="shared" si="50"/>
        <v>9.8999999999999986</v>
      </c>
      <c r="AE41" s="538">
        <f t="shared" si="54"/>
        <v>47.975460361178499</v>
      </c>
      <c r="AF41" s="538">
        <f t="shared" si="41"/>
        <v>2.2254467371856501</v>
      </c>
      <c r="AG41" s="538">
        <f t="shared" si="26"/>
        <v>0</v>
      </c>
      <c r="AH41" s="538">
        <f t="shared" si="42"/>
        <v>40.49586819865057</v>
      </c>
      <c r="AI41" s="539">
        <f t="shared" si="43"/>
        <v>26.98993302356708</v>
      </c>
      <c r="AJ41" s="525">
        <f>SUMPRODUCT(AD41:AG41,'Electrification of Gas End Uses'!$D$4:$G$4)</f>
        <v>24.150070793080243</v>
      </c>
      <c r="AK41" s="533">
        <f t="shared" si="55"/>
        <v>67.485801222217646</v>
      </c>
      <c r="AL41" s="533">
        <f t="shared" si="45"/>
        <v>91.635872015297892</v>
      </c>
      <c r="AN41" s="534">
        <f>SUMPRODUCT(K41:N41,'Electrification of Gas End Uses'!$D$5:$G$5)</f>
        <v>11.944182486304364</v>
      </c>
      <c r="AO41" s="521">
        <f>SUMPRODUCT(K41:N41,'Electrification of Gas End Uses'!$D$6:$G$6)</f>
        <v>67.392795154401867</v>
      </c>
      <c r="AP41" s="540">
        <f>(AH$57+IF(AH41&gt;(AH$60),AH41-AH$60,0))*(1+$AH$59)/'Electrification of Gas End Uses'!$D$12</f>
        <v>15.750667279460227</v>
      </c>
      <c r="AQ41" s="541">
        <f t="shared" si="46"/>
        <v>0</v>
      </c>
    </row>
    <row r="42" spans="1:43" ht="14.25" x14ac:dyDescent="0.2">
      <c r="B42" s="367" t="s">
        <v>541</v>
      </c>
      <c r="C42" s="525">
        <f t="shared" si="27"/>
        <v>0</v>
      </c>
      <c r="D42" s="526" t="b">
        <f t="shared" si="28"/>
        <v>0</v>
      </c>
      <c r="E42" s="526" t="str">
        <f t="shared" si="29"/>
        <v>CBECS</v>
      </c>
      <c r="F42" s="617">
        <f t="shared" si="30"/>
        <v>100.93433105342444</v>
      </c>
      <c r="G42" s="531">
        <f t="shared" si="47"/>
        <v>47.807506517763805</v>
      </c>
      <c r="H42" s="531">
        <f t="shared" si="48"/>
        <v>53.126824535660631</v>
      </c>
      <c r="I42" s="531">
        <v>19.613373548583599</v>
      </c>
      <c r="J42" s="531">
        <v>28.194132969180206</v>
      </c>
      <c r="K42" s="532">
        <v>11.676239121206649</v>
      </c>
      <c r="L42" s="532">
        <v>29.963338566677642</v>
      </c>
      <c r="M42" s="532">
        <v>7.0798855038111501</v>
      </c>
      <c r="N42" s="532">
        <v>4.4073613439651904</v>
      </c>
      <c r="O42" s="612"/>
      <c r="P42" s="526"/>
      <c r="Q42" s="525">
        <f t="shared" si="31"/>
        <v>8.1733673848446546</v>
      </c>
      <c r="R42" s="525">
        <f t="shared" si="32"/>
        <v>29.963338566677642</v>
      </c>
      <c r="S42" s="525">
        <f t="shared" si="33"/>
        <v>7.0798855038111501</v>
      </c>
      <c r="T42" s="525">
        <f t="shared" si="34"/>
        <v>4.4073613439651904</v>
      </c>
      <c r="U42" s="525"/>
      <c r="V42" s="525">
        <f t="shared" si="49"/>
        <v>49.623952799298635</v>
      </c>
      <c r="W42" s="533">
        <f t="shared" si="36"/>
        <v>33.465254562434659</v>
      </c>
      <c r="X42" s="533">
        <f t="shared" si="51"/>
        <v>83.089207361733287</v>
      </c>
      <c r="Y42" s="526"/>
      <c r="Z42" s="525">
        <f>SUMPRODUCT(Q42:T42,'Electrification of Gas End Uses'!$D$4:$G$4)</f>
        <v>23.088987432359424</v>
      </c>
      <c r="AA42" s="533">
        <f t="shared" si="52"/>
        <v>33.465254562434659</v>
      </c>
      <c r="AB42" s="533">
        <f t="shared" si="53"/>
        <v>56.554241994794083</v>
      </c>
      <c r="AD42" s="525">
        <f t="shared" si="50"/>
        <v>8.1733673848446546</v>
      </c>
      <c r="AE42" s="538">
        <f t="shared" si="54"/>
        <v>29.963338566677642</v>
      </c>
      <c r="AF42" s="538">
        <f t="shared" si="41"/>
        <v>7.0798855038111501</v>
      </c>
      <c r="AG42" s="538">
        <f t="shared" si="26"/>
        <v>4.4073613439651904</v>
      </c>
      <c r="AH42" s="538">
        <f t="shared" si="42"/>
        <v>19.735893078426145</v>
      </c>
      <c r="AI42" s="539">
        <f t="shared" si="43"/>
        <v>13.729361484008519</v>
      </c>
      <c r="AJ42" s="525">
        <f>SUMPRODUCT(AD42:AG42,'Electrification of Gas End Uses'!$D$4:$G$4)</f>
        <v>23.088987432359424</v>
      </c>
      <c r="AK42" s="533">
        <f t="shared" si="55"/>
        <v>33.465254562434666</v>
      </c>
      <c r="AL42" s="533">
        <f t="shared" si="45"/>
        <v>56.55424199479409</v>
      </c>
      <c r="AN42" s="534">
        <f>SUMPRODUCT(K42:N42,'Electrification of Gas End Uses'!$D$5:$G$5)</f>
        <v>12.454883583964826</v>
      </c>
      <c r="AO42" s="521">
        <f>SUMPRODUCT(K42:N42,'Electrification of Gas End Uses'!$D$6:$G$6)</f>
        <v>26.657919425342811</v>
      </c>
      <c r="AP42" s="540">
        <f>(AH$57+IF(AH42&gt;(AH$60),AH42-AH$60,0))*(1+$AH$59)/'Electrification of Gas End Uses'!$D$12</f>
        <v>7.4466772313704581</v>
      </c>
      <c r="AQ42" s="541">
        <f t="shared" si="46"/>
        <v>0</v>
      </c>
    </row>
    <row r="43" spans="1:43" ht="14.25" x14ac:dyDescent="0.2">
      <c r="B43" s="367" t="s">
        <v>425</v>
      </c>
      <c r="C43" s="525">
        <f t="shared" si="27"/>
        <v>0</v>
      </c>
      <c r="D43" s="526" t="b">
        <f t="shared" si="28"/>
        <v>0</v>
      </c>
      <c r="E43" s="526" t="str">
        <f t="shared" si="29"/>
        <v>CBECS</v>
      </c>
      <c r="F43" s="617">
        <f t="shared" si="30"/>
        <v>76.534127216901609</v>
      </c>
      <c r="G43" s="531">
        <f t="shared" si="47"/>
        <v>62.033772761274307</v>
      </c>
      <c r="H43" s="531">
        <f t="shared" si="48"/>
        <v>14.500354455627306</v>
      </c>
      <c r="I43" s="531">
        <v>22.0307372985333</v>
      </c>
      <c r="J43" s="531">
        <v>40.003035462741011</v>
      </c>
      <c r="K43" s="532">
        <v>13.133636738656609</v>
      </c>
      <c r="L43" s="532">
        <v>1.3667177169706979</v>
      </c>
      <c r="M43" s="532">
        <v>0</v>
      </c>
      <c r="N43" s="532">
        <v>0</v>
      </c>
      <c r="O43" s="612"/>
      <c r="P43" s="526"/>
      <c r="Q43" s="525">
        <f t="shared" si="31"/>
        <v>9.1935457170596262</v>
      </c>
      <c r="R43" s="525">
        <f t="shared" si="32"/>
        <v>1.3667177169706979</v>
      </c>
      <c r="S43" s="525">
        <f t="shared" si="33"/>
        <v>0</v>
      </c>
      <c r="T43" s="525">
        <f t="shared" si="34"/>
        <v>0</v>
      </c>
      <c r="U43" s="525"/>
      <c r="V43" s="525">
        <f t="shared" si="49"/>
        <v>10.560263434030324</v>
      </c>
      <c r="W43" s="533">
        <f t="shared" si="36"/>
        <v>43.423640932892013</v>
      </c>
      <c r="X43" s="533">
        <f t="shared" si="51"/>
        <v>53.983904366922339</v>
      </c>
      <c r="Y43" s="526"/>
      <c r="Z43" s="525">
        <f>SUMPRODUCT(Q43:T43,'Electrification of Gas End Uses'!$D$4:$G$4)</f>
        <v>3.5010464227652749</v>
      </c>
      <c r="AA43" s="533">
        <f t="shared" si="52"/>
        <v>43.423640932892013</v>
      </c>
      <c r="AB43" s="533">
        <f t="shared" si="53"/>
        <v>46.924687355657291</v>
      </c>
      <c r="AD43" s="525">
        <f t="shared" si="50"/>
        <v>9.1935457170596262</v>
      </c>
      <c r="AE43" s="538">
        <f t="shared" si="54"/>
        <v>1.3667177169706979</v>
      </c>
      <c r="AF43" s="538">
        <f t="shared" si="41"/>
        <v>0</v>
      </c>
      <c r="AG43" s="538">
        <f t="shared" si="26"/>
        <v>0</v>
      </c>
      <c r="AH43" s="538">
        <f t="shared" si="42"/>
        <v>28.002124823918706</v>
      </c>
      <c r="AI43" s="539">
        <f t="shared" si="43"/>
        <v>15.421516108973309</v>
      </c>
      <c r="AJ43" s="525">
        <f>SUMPRODUCT(AD43:AG43,'Electrification of Gas End Uses'!$D$4:$G$4)</f>
        <v>3.5010464227652749</v>
      </c>
      <c r="AK43" s="533">
        <f t="shared" si="55"/>
        <v>43.423640932892013</v>
      </c>
      <c r="AL43" s="533">
        <f t="shared" si="45"/>
        <v>46.924687355657291</v>
      </c>
      <c r="AN43" s="534">
        <f>SUMPRODUCT(K43:N43,'Electrification of Gas End Uses'!$D$5:$G$5)</f>
        <v>1.4449477710306016</v>
      </c>
      <c r="AO43" s="521">
        <f>SUMPRODUCT(K43:N43,'Electrification of Gas End Uses'!$D$6:$G$6)</f>
        <v>13.830108576919878</v>
      </c>
      <c r="AP43" s="540">
        <f>(AH$57+IF(AH43&gt;(AH$60),AH43-AH$60,0))*(1+$AH$59)/'Electrification of Gas End Uses'!$D$12</f>
        <v>10.753169929567482</v>
      </c>
      <c r="AQ43" s="541">
        <f t="shared" si="46"/>
        <v>0</v>
      </c>
    </row>
    <row r="44" spans="1:43" ht="14.25" x14ac:dyDescent="0.2">
      <c r="B44" s="367" t="s">
        <v>542</v>
      </c>
      <c r="C44" s="525">
        <f t="shared" si="27"/>
        <v>0</v>
      </c>
      <c r="D44" s="526" t="b">
        <f t="shared" si="28"/>
        <v>0</v>
      </c>
      <c r="E44" s="526" t="str">
        <f t="shared" si="29"/>
        <v>CBECS</v>
      </c>
      <c r="F44" s="617">
        <f t="shared" si="30"/>
        <v>74.703840639838845</v>
      </c>
      <c r="G44" s="531">
        <f t="shared" si="47"/>
        <v>44.933775348881198</v>
      </c>
      <c r="H44" s="531">
        <f t="shared" si="48"/>
        <v>29.770065290957646</v>
      </c>
      <c r="I44" s="531">
        <v>6.4821043030485797</v>
      </c>
      <c r="J44" s="531">
        <v>38.451671045832619</v>
      </c>
      <c r="K44" s="532">
        <v>23.855126410254229</v>
      </c>
      <c r="L44" s="532">
        <v>2.2512912856293359</v>
      </c>
      <c r="M44" s="532">
        <v>1.7646424705436301</v>
      </c>
      <c r="N44" s="532">
        <v>1.89900512453045</v>
      </c>
      <c r="O44" s="612"/>
      <c r="P44" s="526"/>
      <c r="Q44" s="525">
        <f t="shared" si="31"/>
        <v>16.698588487177961</v>
      </c>
      <c r="R44" s="525">
        <f t="shared" si="32"/>
        <v>2.2512912856293359</v>
      </c>
      <c r="S44" s="525">
        <f t="shared" si="33"/>
        <v>1.7646424705436301</v>
      </c>
      <c r="T44" s="525">
        <f t="shared" si="34"/>
        <v>1.89900512453045</v>
      </c>
      <c r="U44" s="525"/>
      <c r="V44" s="525">
        <f t="shared" si="49"/>
        <v>22.613527367881378</v>
      </c>
      <c r="W44" s="533">
        <f t="shared" si="36"/>
        <v>31.453642744216836</v>
      </c>
      <c r="X44" s="533">
        <f t="shared" si="51"/>
        <v>54.067170112098211</v>
      </c>
      <c r="Y44" s="526"/>
      <c r="Z44" s="525">
        <f>SUMPRODUCT(Q44:T44,'Electrification of Gas End Uses'!$D$4:$G$4)</f>
        <v>9.0211162274654253</v>
      </c>
      <c r="AA44" s="533">
        <f t="shared" si="52"/>
        <v>31.453642744216836</v>
      </c>
      <c r="AB44" s="533">
        <f t="shared" si="53"/>
        <v>40.474758971682263</v>
      </c>
      <c r="AD44" s="525">
        <f t="shared" si="50"/>
        <v>9.8999999999999986</v>
      </c>
      <c r="AE44" s="538">
        <f t="shared" si="54"/>
        <v>2.2512912856293359</v>
      </c>
      <c r="AF44" s="538">
        <f t="shared" si="41"/>
        <v>1.7646424705436301</v>
      </c>
      <c r="AG44" s="538">
        <f t="shared" si="26"/>
        <v>1.89900512453045</v>
      </c>
      <c r="AH44" s="538">
        <f t="shared" si="42"/>
        <v>26.916169732082832</v>
      </c>
      <c r="AI44" s="539">
        <f t="shared" si="43"/>
        <v>4.5374730121340052</v>
      </c>
      <c r="AJ44" s="525">
        <f>SUMPRODUCT(AD44:AG44,'Electrification of Gas End Uses'!$D$4:$G$4)</f>
        <v>6.8455679115684767</v>
      </c>
      <c r="AK44" s="533">
        <f t="shared" si="55"/>
        <v>31.453642744216836</v>
      </c>
      <c r="AL44" s="533">
        <f t="shared" si="45"/>
        <v>38.299210655785316</v>
      </c>
      <c r="AN44" s="534">
        <f>SUMPRODUCT(K44:N44,'Electrification of Gas End Uses'!$D$5:$G$5)</f>
        <v>5.1532710023673634</v>
      </c>
      <c r="AO44" s="521">
        <f>SUMPRODUCT(K44:N44,'Electrification of Gas End Uses'!$D$6:$G$6)</f>
        <v>27.476382217065922</v>
      </c>
      <c r="AP44" s="540">
        <f>(AH$57+IF(AH44&gt;(AH$60),AH44-AH$60,0))*(1+$AH$59)/'Electrification of Gas End Uses'!$D$12</f>
        <v>10.318787892833132</v>
      </c>
      <c r="AQ44" s="541">
        <f t="shared" si="46"/>
        <v>0</v>
      </c>
    </row>
    <row r="45" spans="1:43" ht="14.25" x14ac:dyDescent="0.2">
      <c r="B45" s="367" t="s">
        <v>543</v>
      </c>
      <c r="C45" s="525">
        <f t="shared" si="27"/>
        <v>0</v>
      </c>
      <c r="D45" s="526" t="b">
        <f t="shared" si="28"/>
        <v>0</v>
      </c>
      <c r="E45" s="526" t="str">
        <f t="shared" si="29"/>
        <v>CBECS</v>
      </c>
      <c r="F45" s="617">
        <f t="shared" si="30"/>
        <v>310.24678183067232</v>
      </c>
      <c r="G45" s="531">
        <f t="shared" si="47"/>
        <v>101.20730466749124</v>
      </c>
      <c r="H45" s="531">
        <f t="shared" si="48"/>
        <v>209.03947716318106</v>
      </c>
      <c r="I45" s="531">
        <v>18.625920243660801</v>
      </c>
      <c r="J45" s="531">
        <v>82.581384423830443</v>
      </c>
      <c r="K45" s="532">
        <v>5.0006589697324699</v>
      </c>
      <c r="L45" s="532">
        <v>55.463408970520597</v>
      </c>
      <c r="M45" s="532">
        <v>148.57540922292799</v>
      </c>
      <c r="N45" s="532">
        <v>0</v>
      </c>
      <c r="O45" s="612"/>
      <c r="P45" s="526"/>
      <c r="Q45" s="525">
        <f t="shared" si="31"/>
        <v>3.5004612788127289</v>
      </c>
      <c r="R45" s="525">
        <f t="shared" si="32"/>
        <v>55.463408970520597</v>
      </c>
      <c r="S45" s="525">
        <f t="shared" si="33"/>
        <v>148.57540922292799</v>
      </c>
      <c r="T45" s="525">
        <f t="shared" si="34"/>
        <v>0</v>
      </c>
      <c r="U45" s="525"/>
      <c r="V45" s="525">
        <f t="shared" si="49"/>
        <v>207.53927947226131</v>
      </c>
      <c r="W45" s="533">
        <f t="shared" si="36"/>
        <v>70.84511326724386</v>
      </c>
      <c r="X45" s="533">
        <f t="shared" si="51"/>
        <v>278.38439273950519</v>
      </c>
      <c r="Y45" s="526"/>
      <c r="Z45" s="525">
        <f>SUMPRODUCT(Q45:T45,'Electrification of Gas End Uses'!$D$4:$G$4)</f>
        <v>114.32212685325669</v>
      </c>
      <c r="AA45" s="533">
        <f t="shared" si="52"/>
        <v>70.84511326724386</v>
      </c>
      <c r="AB45" s="533">
        <f t="shared" si="53"/>
        <v>185.16724012050054</v>
      </c>
      <c r="AD45" s="525">
        <f t="shared" si="50"/>
        <v>3.5004612788127289</v>
      </c>
      <c r="AE45" s="538">
        <f t="shared" si="54"/>
        <v>55.463408970520597</v>
      </c>
      <c r="AF45" s="538">
        <f t="shared" si="41"/>
        <v>148.57540922292799</v>
      </c>
      <c r="AG45" s="538">
        <f t="shared" si="26"/>
        <v>0</v>
      </c>
      <c r="AH45" s="538">
        <f t="shared" si="42"/>
        <v>57.806969096681307</v>
      </c>
      <c r="AI45" s="539">
        <f t="shared" si="43"/>
        <v>13.03814417056256</v>
      </c>
      <c r="AJ45" s="525">
        <f>SUMPRODUCT(AD45:AG45,'Electrification of Gas End Uses'!$D$4:$G$4)</f>
        <v>114.32212685325669</v>
      </c>
      <c r="AK45" s="533">
        <f t="shared" si="55"/>
        <v>70.845113267243875</v>
      </c>
      <c r="AL45" s="533">
        <f t="shared" si="45"/>
        <v>185.16724012050057</v>
      </c>
      <c r="AN45" s="534">
        <f>SUMPRODUCT(K45:N45,'Electrification of Gas End Uses'!$D$5:$G$5)</f>
        <v>118.87823066400662</v>
      </c>
      <c r="AO45" s="521">
        <f>SUMPRODUCT(K45:N45,'Electrification of Gas End Uses'!$D$6:$G$6)</f>
        <v>125.28782656548415</v>
      </c>
      <c r="AP45" s="540">
        <f>(AH$57+IF(AH45&gt;(AH$60),AH45-AH$60,0))*(1+$AH$59)/'Electrification of Gas End Uses'!$D$12</f>
        <v>22.675107638672522</v>
      </c>
      <c r="AQ45" s="541">
        <f t="shared" si="46"/>
        <v>0</v>
      </c>
    </row>
    <row r="46" spans="1:43" ht="14.25" x14ac:dyDescent="0.2">
      <c r="B46" s="367" t="s">
        <v>544</v>
      </c>
      <c r="C46" s="525">
        <f t="shared" si="27"/>
        <v>0</v>
      </c>
      <c r="D46" s="526" t="b">
        <f t="shared" si="28"/>
        <v>0</v>
      </c>
      <c r="E46" s="526" t="str">
        <f t="shared" si="29"/>
        <v>CBECS</v>
      </c>
      <c r="F46" s="617">
        <f t="shared" si="30"/>
        <v>59.729000106756239</v>
      </c>
      <c r="G46" s="531">
        <f t="shared" si="47"/>
        <v>30.4928755845091</v>
      </c>
      <c r="H46" s="531">
        <f t="shared" si="48"/>
        <v>29.236124522247138</v>
      </c>
      <c r="I46" s="531">
        <v>6.0944418430226603</v>
      </c>
      <c r="J46" s="531">
        <v>24.398433741486439</v>
      </c>
      <c r="K46" s="532">
        <v>21.991889112108741</v>
      </c>
      <c r="L46" s="532">
        <v>4.5162779529577968</v>
      </c>
      <c r="M46" s="532">
        <v>0.89436044268766901</v>
      </c>
      <c r="N46" s="532">
        <v>1.8335970144929301</v>
      </c>
      <c r="O46" s="612"/>
      <c r="P46" s="526"/>
      <c r="Q46" s="525">
        <f t="shared" si="31"/>
        <v>15.394322378476117</v>
      </c>
      <c r="R46" s="525">
        <f t="shared" si="32"/>
        <v>4.5162779529577968</v>
      </c>
      <c r="S46" s="525">
        <f t="shared" si="33"/>
        <v>0.89436044268766901</v>
      </c>
      <c r="T46" s="525">
        <f t="shared" si="34"/>
        <v>1.8335970144929301</v>
      </c>
      <c r="U46" s="525"/>
      <c r="V46" s="525">
        <f t="shared" si="49"/>
        <v>22.638557788614513</v>
      </c>
      <c r="W46" s="533">
        <f t="shared" si="36"/>
        <v>21.34501290915637</v>
      </c>
      <c r="X46" s="533">
        <f t="shared" si="51"/>
        <v>43.983570697770887</v>
      </c>
      <c r="Y46" s="526"/>
      <c r="Z46" s="525">
        <f>SUMPRODUCT(Q46:T46,'Electrification of Gas End Uses'!$D$4:$G$4)</f>
        <v>8.9422405406007019</v>
      </c>
      <c r="AA46" s="533">
        <f t="shared" si="52"/>
        <v>21.34501290915637</v>
      </c>
      <c r="AB46" s="533">
        <f t="shared" si="53"/>
        <v>30.287253449757074</v>
      </c>
      <c r="AD46" s="525">
        <f t="shared" si="50"/>
        <v>9.8999999999999986</v>
      </c>
      <c r="AE46" s="538">
        <f t="shared" si="54"/>
        <v>4.5162779529577968</v>
      </c>
      <c r="AF46" s="538">
        <f t="shared" si="41"/>
        <v>0.89436044268766901</v>
      </c>
      <c r="AG46" s="538">
        <f t="shared" si="26"/>
        <v>1.8335970144929301</v>
      </c>
      <c r="AH46" s="538">
        <f t="shared" si="42"/>
        <v>17.078903619040506</v>
      </c>
      <c r="AI46" s="539">
        <f t="shared" si="43"/>
        <v>4.2661092901158622</v>
      </c>
      <c r="AJ46" s="525">
        <f>SUMPRODUCT(AD46:AG46,'Electrification of Gas End Uses'!$D$4:$G$4)</f>
        <v>7.184057379488344</v>
      </c>
      <c r="AK46" s="533">
        <f t="shared" si="55"/>
        <v>21.345012909156367</v>
      </c>
      <c r="AL46" s="533">
        <f t="shared" si="45"/>
        <v>28.529070288644711</v>
      </c>
      <c r="AN46" s="534">
        <f>SUMPRODUCT(K46:N46,'Electrification of Gas End Uses'!$D$5:$G$5)</f>
        <v>4.501893239729549</v>
      </c>
      <c r="AO46" s="521">
        <f>SUMPRODUCT(K46:N46,'Electrification of Gas End Uses'!$D$6:$G$6)</f>
        <v>25.411959870126619</v>
      </c>
      <c r="AP46" s="540">
        <f>(AH$57+IF(AH46&gt;(AH$60),AH46-AH$60,0))*(1+$AH$59)/'Electrification of Gas End Uses'!$D$12</f>
        <v>6.3838814476162025</v>
      </c>
      <c r="AQ46" s="541">
        <f t="shared" si="46"/>
        <v>0</v>
      </c>
    </row>
    <row r="47" spans="1:43" ht="14.25" x14ac:dyDescent="0.2">
      <c r="B47" s="367" t="s">
        <v>545</v>
      </c>
      <c r="C47" s="525">
        <f t="shared" si="27"/>
        <v>0</v>
      </c>
      <c r="D47" s="526" t="b">
        <f t="shared" si="28"/>
        <v>0</v>
      </c>
      <c r="E47" s="526" t="str">
        <f t="shared" si="29"/>
        <v>CBECS</v>
      </c>
      <c r="F47" s="617">
        <f t="shared" si="30"/>
        <v>131.9866179635145</v>
      </c>
      <c r="G47" s="531">
        <f t="shared" si="47"/>
        <v>60.539961849829879</v>
      </c>
      <c r="H47" s="531">
        <f t="shared" si="48"/>
        <v>71.446656113684611</v>
      </c>
      <c r="I47" s="531">
        <v>15.236577832155699</v>
      </c>
      <c r="J47" s="531">
        <v>45.303384017674176</v>
      </c>
      <c r="K47" s="532">
        <v>50.006232691512196</v>
      </c>
      <c r="L47" s="532">
        <v>17.683519137074011</v>
      </c>
      <c r="M47" s="532">
        <v>2.0051642801810301</v>
      </c>
      <c r="N47" s="532">
        <v>1.7517400049173599</v>
      </c>
      <c r="O47" s="612"/>
      <c r="P47" s="526"/>
      <c r="Q47" s="525">
        <f t="shared" si="31"/>
        <v>35.004362884058537</v>
      </c>
      <c r="R47" s="525">
        <f t="shared" si="32"/>
        <v>17.683519137074011</v>
      </c>
      <c r="S47" s="525">
        <f t="shared" si="33"/>
        <v>2.0051642801810301</v>
      </c>
      <c r="T47" s="525">
        <f t="shared" si="34"/>
        <v>1.7517400049173599</v>
      </c>
      <c r="U47" s="525"/>
      <c r="V47" s="525">
        <f t="shared" si="49"/>
        <v>56.444786306230938</v>
      </c>
      <c r="W47" s="533">
        <f t="shared" si="36"/>
        <v>42.37797329488091</v>
      </c>
      <c r="X47" s="533">
        <f t="shared" si="51"/>
        <v>98.822759601111841</v>
      </c>
      <c r="Y47" s="526"/>
      <c r="Z47" s="525">
        <f>SUMPRODUCT(Q47:T47,'Electrification of Gas End Uses'!$D$4:$G$4)</f>
        <v>21.208271767253304</v>
      </c>
      <c r="AA47" s="533">
        <f t="shared" si="52"/>
        <v>42.37797329488091</v>
      </c>
      <c r="AB47" s="533">
        <f t="shared" si="53"/>
        <v>63.586245062134211</v>
      </c>
      <c r="AD47" s="525">
        <f t="shared" si="50"/>
        <v>9.8999999999999986</v>
      </c>
      <c r="AE47" s="538">
        <f t="shared" si="54"/>
        <v>17.683519137074011</v>
      </c>
      <c r="AF47" s="538">
        <f t="shared" si="41"/>
        <v>2.0051642801810301</v>
      </c>
      <c r="AG47" s="538">
        <f t="shared" si="26"/>
        <v>1.7517400049173599</v>
      </c>
      <c r="AH47" s="538">
        <f t="shared" si="42"/>
        <v>31.712368812371921</v>
      </c>
      <c r="AI47" s="539">
        <f t="shared" si="43"/>
        <v>12.237267524948768</v>
      </c>
      <c r="AJ47" s="525">
        <f>SUMPRODUCT(AD47:AG47,'Electrification of Gas End Uses'!$D$4:$G$4)</f>
        <v>13.174875644354572</v>
      </c>
      <c r="AK47" s="533">
        <f t="shared" si="55"/>
        <v>43.94963633732069</v>
      </c>
      <c r="AL47" s="533">
        <f t="shared" si="45"/>
        <v>57.124511981675262</v>
      </c>
      <c r="AN47" s="534">
        <f>SUMPRODUCT(K47:N47,'Electrification of Gas End Uses'!$D$5:$G$5)</f>
        <v>9.4375762830429988</v>
      </c>
      <c r="AO47" s="521">
        <f>SUMPRODUCT(K47:N47,'Electrification of Gas End Uses'!$D$6:$G$6)</f>
        <v>58.024345550244632</v>
      </c>
      <c r="AP47" s="540">
        <f>(AH$57+IF(AH47&gt;(AH$60),AH47-AH$60,0))*(1+$AH$59)/'Electrification of Gas End Uses'!$D$12</f>
        <v>12.237267524948768</v>
      </c>
      <c r="AQ47" s="541">
        <f t="shared" si="46"/>
        <v>-0.14735808411208384</v>
      </c>
    </row>
    <row r="48" spans="1:43" ht="14.25" x14ac:dyDescent="0.2">
      <c r="B48" s="367" t="s">
        <v>546</v>
      </c>
      <c r="C48" s="525">
        <f t="shared" si="27"/>
        <v>0</v>
      </c>
      <c r="D48" s="526" t="b">
        <f t="shared" si="28"/>
        <v>0</v>
      </c>
      <c r="E48" s="526" t="str">
        <f t="shared" si="29"/>
        <v>CBECS</v>
      </c>
      <c r="F48" s="617">
        <f t="shared" si="30"/>
        <v>106.90962598187639</v>
      </c>
      <c r="G48" s="531">
        <f t="shared" si="47"/>
        <v>60.539961849829879</v>
      </c>
      <c r="H48" s="531">
        <f t="shared" si="48"/>
        <v>46.369664132046516</v>
      </c>
      <c r="I48" s="531">
        <v>15.236577832155699</v>
      </c>
      <c r="J48" s="531">
        <v>45.303384017674176</v>
      </c>
      <c r="K48" s="532">
        <v>32.743655497030183</v>
      </c>
      <c r="L48" s="532">
        <v>13.250318206506494</v>
      </c>
      <c r="M48" s="532">
        <v>0.20051642801810299</v>
      </c>
      <c r="N48" s="532">
        <v>0.17517400049173601</v>
      </c>
      <c r="O48" s="612"/>
      <c r="P48" s="526"/>
      <c r="Q48" s="525">
        <f t="shared" si="31"/>
        <v>22.920558847921125</v>
      </c>
      <c r="R48" s="525">
        <f t="shared" si="32"/>
        <v>13.250318206506494</v>
      </c>
      <c r="S48" s="525">
        <f t="shared" si="33"/>
        <v>0.20051642801810299</v>
      </c>
      <c r="T48" s="525">
        <f t="shared" si="34"/>
        <v>0.17517400049173601</v>
      </c>
      <c r="U48" s="525"/>
      <c r="V48" s="525">
        <f t="shared" si="49"/>
        <v>36.546567482937462</v>
      </c>
      <c r="W48" s="533">
        <f t="shared" si="36"/>
        <v>42.37797329488091</v>
      </c>
      <c r="X48" s="533">
        <f t="shared" si="51"/>
        <v>78.924540777818379</v>
      </c>
      <c r="Y48" s="526"/>
      <c r="Z48" s="525">
        <f>SUMPRODUCT(Q48:T48,'Electrification of Gas End Uses'!$D$4:$G$4)</f>
        <v>13.032434424642572</v>
      </c>
      <c r="AA48" s="533">
        <f t="shared" si="52"/>
        <v>42.37797329488091</v>
      </c>
      <c r="AB48" s="533">
        <f t="shared" si="53"/>
        <v>55.410407719523484</v>
      </c>
      <c r="AD48" s="525">
        <f t="shared" si="50"/>
        <v>9.8999999999999986</v>
      </c>
      <c r="AE48" s="538">
        <f t="shared" si="54"/>
        <v>13.250318206506494</v>
      </c>
      <c r="AF48" s="538">
        <f t="shared" si="41"/>
        <v>0.20051642801810299</v>
      </c>
      <c r="AG48" s="538">
        <f t="shared" si="26"/>
        <v>0.17517400049173601</v>
      </c>
      <c r="AH48" s="538">
        <f t="shared" si="42"/>
        <v>31.712368812371921</v>
      </c>
      <c r="AI48" s="539">
        <f t="shared" si="43"/>
        <v>12.237267524948768</v>
      </c>
      <c r="AJ48" s="525">
        <f>SUMPRODUCT(AD48:AG48,'Electrification of Gas End Uses'!$D$4:$G$4)</f>
        <v>8.8658555933078134</v>
      </c>
      <c r="AK48" s="533">
        <f t="shared" si="55"/>
        <v>43.94963633732069</v>
      </c>
      <c r="AL48" s="533">
        <f t="shared" si="45"/>
        <v>52.815491930628504</v>
      </c>
      <c r="AN48" s="534">
        <f>SUMPRODUCT(K48:N48,'Electrification of Gas End Uses'!$D$5:$G$5)</f>
        <v>4.8879701445227379</v>
      </c>
      <c r="AO48" s="521">
        <f>SUMPRODUCT(K48:N48,'Electrification of Gas End Uses'!$D$6:$G$6)</f>
        <v>36.99396734131976</v>
      </c>
      <c r="AP48" s="540">
        <f>(AH$57+IF(AH48&gt;(AH$60),AH48-AH$60,0))*(1+$AH$59)/'Electrification of Gas End Uses'!$D$12</f>
        <v>12.237267524948768</v>
      </c>
      <c r="AQ48" s="541">
        <f t="shared" si="46"/>
        <v>-0.14735808411208384</v>
      </c>
    </row>
    <row r="49" spans="1:43" ht="14.25" x14ac:dyDescent="0.2">
      <c r="B49" s="367" t="s">
        <v>79</v>
      </c>
      <c r="C49" s="525">
        <f t="shared" si="27"/>
        <v>0</v>
      </c>
      <c r="D49" s="526" t="b">
        <f t="shared" si="28"/>
        <v>0</v>
      </c>
      <c r="E49" s="526" t="str">
        <f t="shared" si="29"/>
        <v>CBECS</v>
      </c>
      <c r="F49" s="617">
        <f t="shared" si="30"/>
        <v>39.807444435787595</v>
      </c>
      <c r="G49" s="531">
        <f t="shared" si="47"/>
        <v>28.583520009795265</v>
      </c>
      <c r="H49" s="531">
        <f t="shared" si="48"/>
        <v>11.22392442599233</v>
      </c>
      <c r="I49" s="531">
        <v>3.2174402784373299</v>
      </c>
      <c r="J49" s="531">
        <v>25.366079731357935</v>
      </c>
      <c r="K49" s="532">
        <v>9.3852973293495605</v>
      </c>
      <c r="L49" s="532">
        <v>1.83862709664277</v>
      </c>
      <c r="M49" s="532">
        <v>0</v>
      </c>
      <c r="N49" s="532">
        <v>0</v>
      </c>
      <c r="O49" s="612"/>
      <c r="P49" s="526"/>
      <c r="Q49" s="525">
        <f t="shared" si="31"/>
        <v>6.5697081305446918</v>
      </c>
      <c r="R49" s="525">
        <f t="shared" si="32"/>
        <v>1.83862709664277</v>
      </c>
      <c r="S49" s="525">
        <f t="shared" si="33"/>
        <v>0</v>
      </c>
      <c r="T49" s="525">
        <f t="shared" si="34"/>
        <v>0</v>
      </c>
      <c r="U49" s="525"/>
      <c r="V49" s="525">
        <f t="shared" si="49"/>
        <v>8.408335227187461</v>
      </c>
      <c r="W49" s="533">
        <f t="shared" si="36"/>
        <v>20.008464006856684</v>
      </c>
      <c r="X49" s="533">
        <f t="shared" si="51"/>
        <v>28.416799234044145</v>
      </c>
      <c r="Y49" s="526"/>
      <c r="Z49" s="525">
        <f>SUMPRODUCT(Q49:T49,'Electrification of Gas End Uses'!$D$4:$G$4)</f>
        <v>2.854472232219071</v>
      </c>
      <c r="AA49" s="533">
        <f t="shared" si="52"/>
        <v>20.008464006856684</v>
      </c>
      <c r="AB49" s="533">
        <f t="shared" si="53"/>
        <v>22.862936239075754</v>
      </c>
      <c r="AD49" s="525">
        <f t="shared" si="50"/>
        <v>6.5697081305446918</v>
      </c>
      <c r="AE49" s="538">
        <f t="shared" si="54"/>
        <v>1.83862709664277</v>
      </c>
      <c r="AF49" s="538">
        <f t="shared" si="41"/>
        <v>0</v>
      </c>
      <c r="AG49" s="538">
        <f t="shared" si="26"/>
        <v>0</v>
      </c>
      <c r="AH49" s="538">
        <f t="shared" si="42"/>
        <v>17.756255811950552</v>
      </c>
      <c r="AI49" s="539">
        <f t="shared" si="43"/>
        <v>2.2522081949061308</v>
      </c>
      <c r="AJ49" s="525">
        <f>SUMPRODUCT(AD49:AG49,'Electrification of Gas End Uses'!$D$4:$G$4)</f>
        <v>2.854472232219071</v>
      </c>
      <c r="AK49" s="533">
        <f t="shared" si="55"/>
        <v>20.008464006856684</v>
      </c>
      <c r="AL49" s="533">
        <f t="shared" si="45"/>
        <v>22.862936239075754</v>
      </c>
      <c r="AN49" s="534">
        <f>SUMPRODUCT(K49:N49,'Electrification of Gas End Uses'!$D$5:$G$5)</f>
        <v>1.1220121045367579</v>
      </c>
      <c r="AO49" s="521">
        <f>SUMPRODUCT(K49:N49,'Electrification of Gas End Uses'!$D$6:$G$6)</f>
        <v>10.081295211182875</v>
      </c>
      <c r="AP49" s="540">
        <f>(AH$57+IF(AH49&gt;(AH$60),AH49-AH$60,0))*(1+$AH$59)/'Electrification of Gas End Uses'!$D$12</f>
        <v>6.6548223247802216</v>
      </c>
      <c r="AQ49" s="541">
        <f t="shared" si="46"/>
        <v>0</v>
      </c>
    </row>
    <row r="50" spans="1:43" ht="14.25" x14ac:dyDescent="0.2">
      <c r="B50" s="367"/>
      <c r="C50" s="525">
        <f t="shared" si="27"/>
        <v>0</v>
      </c>
      <c r="D50" s="526" t="b">
        <f t="shared" si="28"/>
        <v>0</v>
      </c>
      <c r="E50" s="526" t="str">
        <f t="shared" si="29"/>
        <v>CBECS</v>
      </c>
      <c r="F50" s="617"/>
      <c r="G50" s="531"/>
      <c r="H50" s="531"/>
      <c r="I50" s="531"/>
      <c r="J50" s="531"/>
      <c r="K50" s="531"/>
      <c r="L50" s="531"/>
      <c r="M50" s="531"/>
      <c r="N50" s="618"/>
      <c r="O50" s="612"/>
      <c r="P50" s="526"/>
      <c r="Q50" s="525">
        <f t="shared" si="31"/>
        <v>0</v>
      </c>
      <c r="R50" s="525">
        <f t="shared" si="32"/>
        <v>0</v>
      </c>
      <c r="S50" s="525">
        <f t="shared" si="33"/>
        <v>0</v>
      </c>
      <c r="T50" s="525">
        <f t="shared" si="34"/>
        <v>0</v>
      </c>
      <c r="U50" s="525"/>
      <c r="V50" s="525">
        <f t="shared" si="49"/>
        <v>0</v>
      </c>
      <c r="W50" s="533">
        <f t="shared" si="36"/>
        <v>0</v>
      </c>
      <c r="X50" s="533">
        <f t="shared" si="51"/>
        <v>0</v>
      </c>
      <c r="Y50" s="526"/>
      <c r="Z50" s="525">
        <f>SUMPRODUCT(Q50:T50,'Electrification of Gas End Uses'!$D$4:$G$4)</f>
        <v>0</v>
      </c>
      <c r="AA50" s="533">
        <f t="shared" si="52"/>
        <v>0</v>
      </c>
      <c r="AB50" s="533">
        <f t="shared" si="53"/>
        <v>0</v>
      </c>
      <c r="AD50" s="525">
        <f t="shared" si="50"/>
        <v>0</v>
      </c>
      <c r="AE50" s="538">
        <f t="shared" si="54"/>
        <v>0</v>
      </c>
      <c r="AF50" s="538">
        <f t="shared" si="41"/>
        <v>0</v>
      </c>
      <c r="AG50" s="538">
        <f t="shared" si="26"/>
        <v>0</v>
      </c>
      <c r="AH50" s="538">
        <f t="shared" si="42"/>
        <v>0</v>
      </c>
      <c r="AI50" s="539">
        <f t="shared" si="43"/>
        <v>0</v>
      </c>
      <c r="AJ50" s="525">
        <f>SUMPRODUCT(AD50:AG50,'Electrification of Gas End Uses'!$D$4:$G$4)</f>
        <v>0</v>
      </c>
      <c r="AK50" s="533">
        <f t="shared" si="55"/>
        <v>0</v>
      </c>
      <c r="AL50" s="533">
        <f t="shared" si="45"/>
        <v>0</v>
      </c>
      <c r="AN50" s="534">
        <f>SUMPRODUCT(K50:N50,'Electrification of Gas End Uses'!$D$5:$G$5)</f>
        <v>0</v>
      </c>
      <c r="AO50" s="521">
        <f>SUMPRODUCT(K50:N50,'Electrification of Gas End Uses'!$D$6:$G$6)</f>
        <v>0</v>
      </c>
      <c r="AP50" s="540">
        <f>(AH$57+IF(AH50&gt;(AH$60),AH50-AH$60,0))*(1+$AH$59)/'Electrification of Gas End Uses'!$D$12</f>
        <v>1.9</v>
      </c>
      <c r="AQ50" s="541" t="e">
        <f t="shared" si="46"/>
        <v>#DIV/0!</v>
      </c>
    </row>
    <row r="51" spans="1:43" ht="14.25" x14ac:dyDescent="0.2">
      <c r="B51" s="367"/>
      <c r="C51" s="525">
        <f t="shared" si="27"/>
        <v>0</v>
      </c>
      <c r="D51" s="526" t="b">
        <f t="shared" si="28"/>
        <v>0</v>
      </c>
      <c r="E51" s="526" t="str">
        <f t="shared" si="29"/>
        <v>CBECS</v>
      </c>
      <c r="F51" s="617"/>
      <c r="G51" s="531"/>
      <c r="H51" s="531"/>
      <c r="I51" s="531"/>
      <c r="J51" s="531"/>
      <c r="K51" s="531"/>
      <c r="L51" s="531"/>
      <c r="M51" s="531"/>
      <c r="N51" s="618"/>
      <c r="O51" s="612"/>
      <c r="P51" s="526"/>
      <c r="Q51" s="525">
        <f t="shared" si="31"/>
        <v>0</v>
      </c>
      <c r="R51" s="525">
        <f t="shared" si="32"/>
        <v>0</v>
      </c>
      <c r="S51" s="525">
        <f t="shared" si="33"/>
        <v>0</v>
      </c>
      <c r="T51" s="525">
        <f t="shared" si="34"/>
        <v>0</v>
      </c>
      <c r="U51" s="525"/>
      <c r="V51" s="525">
        <f t="shared" si="49"/>
        <v>0</v>
      </c>
      <c r="W51" s="533">
        <f t="shared" si="36"/>
        <v>0</v>
      </c>
      <c r="X51" s="533">
        <f t="shared" si="51"/>
        <v>0</v>
      </c>
      <c r="Y51" s="526"/>
      <c r="Z51" s="525">
        <f>SUMPRODUCT(Q51:T51,'Electrification of Gas End Uses'!$D$4:$G$4)</f>
        <v>0</v>
      </c>
      <c r="AA51" s="533">
        <f t="shared" si="52"/>
        <v>0</v>
      </c>
      <c r="AB51" s="533">
        <f t="shared" si="53"/>
        <v>0</v>
      </c>
      <c r="AD51" s="525">
        <f t="shared" si="50"/>
        <v>0</v>
      </c>
      <c r="AE51" s="538">
        <f t="shared" si="54"/>
        <v>0</v>
      </c>
      <c r="AF51" s="538">
        <f t="shared" si="41"/>
        <v>0</v>
      </c>
      <c r="AG51" s="538">
        <f t="shared" si="26"/>
        <v>0</v>
      </c>
      <c r="AH51" s="538">
        <f t="shared" si="42"/>
        <v>0</v>
      </c>
      <c r="AI51" s="539">
        <f t="shared" si="43"/>
        <v>0</v>
      </c>
      <c r="AJ51" s="525">
        <f>SUMPRODUCT(AD51:AG51,'Electrification of Gas End Uses'!$D$4:$G$4)</f>
        <v>0</v>
      </c>
      <c r="AK51" s="533">
        <f t="shared" si="55"/>
        <v>0</v>
      </c>
      <c r="AL51" s="533">
        <f t="shared" si="45"/>
        <v>0</v>
      </c>
      <c r="AN51" s="534">
        <f>SUMPRODUCT(K51:N51,'Electrification of Gas End Uses'!$D$5:$G$5)</f>
        <v>0</v>
      </c>
      <c r="AO51" s="521">
        <f>SUMPRODUCT(K51:N51,'Electrification of Gas End Uses'!$D$6:$G$6)</f>
        <v>0</v>
      </c>
      <c r="AP51" s="540">
        <f>(AH$57+IF(AH51&gt;(AH$60),AH51-AH$60,0))*(1+$AH$59)/'Electrification of Gas End Uses'!$D$12</f>
        <v>1.9</v>
      </c>
      <c r="AQ51" s="541" t="e">
        <f t="shared" si="46"/>
        <v>#DIV/0!</v>
      </c>
    </row>
    <row r="52" spans="1:43" ht="14.25" x14ac:dyDescent="0.2">
      <c r="B52" s="367"/>
      <c r="C52" s="525">
        <f t="shared" si="27"/>
        <v>0</v>
      </c>
      <c r="D52" s="526" t="b">
        <f t="shared" si="28"/>
        <v>0</v>
      </c>
      <c r="E52" s="526" t="str">
        <f t="shared" si="29"/>
        <v>CBECS</v>
      </c>
      <c r="F52" s="617"/>
      <c r="G52" s="531"/>
      <c r="H52" s="531"/>
      <c r="I52" s="531"/>
      <c r="J52" s="531"/>
      <c r="K52" s="531"/>
      <c r="L52" s="531"/>
      <c r="M52" s="531"/>
      <c r="N52" s="618"/>
      <c r="O52" s="612"/>
      <c r="P52" s="526"/>
      <c r="Q52" s="525">
        <f t="shared" si="31"/>
        <v>0</v>
      </c>
      <c r="R52" s="525">
        <f t="shared" si="32"/>
        <v>0</v>
      </c>
      <c r="S52" s="525">
        <f t="shared" si="33"/>
        <v>0</v>
      </c>
      <c r="T52" s="525">
        <f t="shared" si="34"/>
        <v>0</v>
      </c>
      <c r="U52" s="525"/>
      <c r="V52" s="525">
        <f t="shared" si="49"/>
        <v>0</v>
      </c>
      <c r="W52" s="533">
        <f t="shared" si="36"/>
        <v>0</v>
      </c>
      <c r="X52" s="533">
        <f t="shared" si="51"/>
        <v>0</v>
      </c>
      <c r="Y52" s="526"/>
      <c r="Z52" s="525">
        <f>SUMPRODUCT(Q52:T52,'Electrification of Gas End Uses'!$D$4:$G$4)</f>
        <v>0</v>
      </c>
      <c r="AA52" s="533">
        <f t="shared" si="52"/>
        <v>0</v>
      </c>
      <c r="AB52" s="533">
        <f t="shared" si="53"/>
        <v>0</v>
      </c>
      <c r="AD52" s="525">
        <f t="shared" si="50"/>
        <v>0</v>
      </c>
      <c r="AE52" s="538">
        <f t="shared" si="54"/>
        <v>0</v>
      </c>
      <c r="AF52" s="538">
        <f t="shared" si="54"/>
        <v>0</v>
      </c>
      <c r="AG52" s="538">
        <f t="shared" si="26"/>
        <v>0</v>
      </c>
      <c r="AH52" s="538">
        <f t="shared" si="42"/>
        <v>0</v>
      </c>
      <c r="AI52" s="539">
        <f t="shared" si="43"/>
        <v>0</v>
      </c>
      <c r="AJ52" s="525">
        <f>SUMPRODUCT(AD52:AG52,'Electrification of Gas End Uses'!$D$4:$G$4)</f>
        <v>0</v>
      </c>
      <c r="AK52" s="533">
        <f t="shared" si="55"/>
        <v>0</v>
      </c>
      <c r="AL52" s="533">
        <f t="shared" si="45"/>
        <v>0</v>
      </c>
      <c r="AN52" s="534">
        <f>SUMPRODUCT(K52:N52,'Electrification of Gas End Uses'!$D$5:$G$5)</f>
        <v>0</v>
      </c>
      <c r="AO52" s="521">
        <f>SUMPRODUCT(K52:N52,'Electrification of Gas End Uses'!$D$6:$G$6)</f>
        <v>0</v>
      </c>
      <c r="AP52" s="540">
        <f>(AH$57+IF(AH52&gt;(AH$60),AH52-AH$60,0))*(1+$AH$59)/'Electrification of Gas End Uses'!$D$12</f>
        <v>1.9</v>
      </c>
      <c r="AQ52" s="541" t="e">
        <f t="shared" si="46"/>
        <v>#DIV/0!</v>
      </c>
    </row>
    <row r="53" spans="1:43" ht="14.25" x14ac:dyDescent="0.2">
      <c r="B53" s="367"/>
      <c r="C53" s="525">
        <f t="shared" si="27"/>
        <v>0</v>
      </c>
      <c r="D53" s="526" t="b">
        <f t="shared" si="28"/>
        <v>0</v>
      </c>
      <c r="E53" s="526" t="str">
        <f t="shared" si="29"/>
        <v>CBECS</v>
      </c>
      <c r="F53" s="617"/>
      <c r="G53" s="531"/>
      <c r="H53" s="531"/>
      <c r="I53" s="531"/>
      <c r="J53" s="531"/>
      <c r="K53" s="531"/>
      <c r="L53" s="531"/>
      <c r="M53" s="531"/>
      <c r="N53" s="618"/>
      <c r="O53" s="612"/>
      <c r="P53" s="526"/>
      <c r="Q53" s="525">
        <f t="shared" si="31"/>
        <v>0</v>
      </c>
      <c r="R53" s="525">
        <f t="shared" si="32"/>
        <v>0</v>
      </c>
      <c r="S53" s="525">
        <f t="shared" si="33"/>
        <v>0</v>
      </c>
      <c r="T53" s="525">
        <f t="shared" si="34"/>
        <v>0</v>
      </c>
      <c r="U53" s="525"/>
      <c r="V53" s="525">
        <f t="shared" si="49"/>
        <v>0</v>
      </c>
      <c r="W53" s="533">
        <f t="shared" si="36"/>
        <v>0</v>
      </c>
      <c r="X53" s="533">
        <f t="shared" si="51"/>
        <v>0</v>
      </c>
      <c r="Y53" s="526"/>
      <c r="Z53" s="525">
        <f>SUMPRODUCT(Q53:T53,'Electrification of Gas End Uses'!$D$4:$G$4)</f>
        <v>0</v>
      </c>
      <c r="AA53" s="533">
        <f t="shared" si="52"/>
        <v>0</v>
      </c>
      <c r="AB53" s="533">
        <f t="shared" si="53"/>
        <v>0</v>
      </c>
      <c r="AD53" s="525">
        <f t="shared" si="50"/>
        <v>0</v>
      </c>
      <c r="AE53" s="538">
        <f t="shared" si="54"/>
        <v>0</v>
      </c>
      <c r="AF53" s="538">
        <f t="shared" si="54"/>
        <v>0</v>
      </c>
      <c r="AG53" s="538">
        <f t="shared" si="26"/>
        <v>0</v>
      </c>
      <c r="AH53" s="538">
        <f t="shared" si="42"/>
        <v>0</v>
      </c>
      <c r="AI53" s="539">
        <f t="shared" si="43"/>
        <v>0</v>
      </c>
      <c r="AJ53" s="525">
        <f>SUMPRODUCT(AD53:AG53,'Electrification of Gas End Uses'!$D$4:$G$4)</f>
        <v>0</v>
      </c>
      <c r="AK53" s="533">
        <f t="shared" si="55"/>
        <v>0</v>
      </c>
      <c r="AL53" s="533">
        <f t="shared" si="45"/>
        <v>0</v>
      </c>
      <c r="AN53" s="534">
        <f>SUMPRODUCT(K53:N53,'Electrification of Gas End Uses'!$D$5:$G$5)</f>
        <v>0</v>
      </c>
      <c r="AO53" s="521">
        <f>SUMPRODUCT(K53:N53,'Electrification of Gas End Uses'!$D$6:$G$6)</f>
        <v>0</v>
      </c>
      <c r="AP53" s="540">
        <f>(AH$57+IF(AH53&gt;(AH$60),AH53-AH$60,0))*(1+$AH$59)/'Electrification of Gas End Uses'!$D$12</f>
        <v>1.9</v>
      </c>
      <c r="AQ53" s="541" t="e">
        <f t="shared" si="46"/>
        <v>#DIV/0!</v>
      </c>
    </row>
    <row r="54" spans="1:43" ht="15" thickBot="1" x14ac:dyDescent="0.25">
      <c r="B54" s="367"/>
      <c r="C54" s="525">
        <f t="shared" si="27"/>
        <v>0</v>
      </c>
      <c r="D54" s="526" t="b">
        <f t="shared" si="28"/>
        <v>0</v>
      </c>
      <c r="E54" s="526" t="str">
        <f t="shared" si="29"/>
        <v>CBECS</v>
      </c>
      <c r="F54" s="619"/>
      <c r="G54" s="620"/>
      <c r="H54" s="620"/>
      <c r="I54" s="620"/>
      <c r="J54" s="620"/>
      <c r="K54" s="620"/>
      <c r="L54" s="620"/>
      <c r="M54" s="620"/>
      <c r="N54" s="621"/>
      <c r="O54" s="612"/>
      <c r="P54" s="526"/>
      <c r="Q54" s="525">
        <f t="shared" si="31"/>
        <v>0</v>
      </c>
      <c r="R54" s="525">
        <f t="shared" si="32"/>
        <v>0</v>
      </c>
      <c r="S54" s="525">
        <f t="shared" si="33"/>
        <v>0</v>
      </c>
      <c r="T54" s="525">
        <f t="shared" si="34"/>
        <v>0</v>
      </c>
      <c r="U54" s="525"/>
      <c r="V54" s="525">
        <f t="shared" si="49"/>
        <v>0</v>
      </c>
      <c r="W54" s="533">
        <f t="shared" si="36"/>
        <v>0</v>
      </c>
      <c r="X54" s="533">
        <f t="shared" si="51"/>
        <v>0</v>
      </c>
      <c r="Y54" s="526"/>
      <c r="Z54" s="525">
        <f>SUMPRODUCT(Q54:T54,'Electrification of Gas End Uses'!$D$4:$G$4)</f>
        <v>0</v>
      </c>
      <c r="AA54" s="533">
        <f t="shared" si="52"/>
        <v>0</v>
      </c>
      <c r="AB54" s="533">
        <f t="shared" si="53"/>
        <v>0</v>
      </c>
      <c r="AD54" s="525">
        <f t="shared" si="50"/>
        <v>0</v>
      </c>
      <c r="AE54" s="538">
        <f t="shared" si="54"/>
        <v>0</v>
      </c>
      <c r="AF54" s="538">
        <f t="shared" si="54"/>
        <v>0</v>
      </c>
      <c r="AG54" s="538">
        <f t="shared" si="26"/>
        <v>0</v>
      </c>
      <c r="AH54" s="538">
        <f t="shared" si="42"/>
        <v>0</v>
      </c>
      <c r="AI54" s="539">
        <f t="shared" si="43"/>
        <v>0</v>
      </c>
      <c r="AJ54" s="525">
        <f>SUMPRODUCT(AD54:AG54,'Electrification of Gas End Uses'!$D$4:$G$4)</f>
        <v>0</v>
      </c>
      <c r="AK54" s="533">
        <f t="shared" si="55"/>
        <v>0</v>
      </c>
      <c r="AL54" s="533">
        <f t="shared" si="45"/>
        <v>0</v>
      </c>
      <c r="AN54" s="534">
        <f>SUMPRODUCT(K54:N54,'Electrification of Gas End Uses'!$D$5:$G$5)</f>
        <v>0</v>
      </c>
      <c r="AO54" s="521">
        <f>SUMPRODUCT(K54:N54,'Electrification of Gas End Uses'!$D$6:$G$6)</f>
        <v>0</v>
      </c>
      <c r="AP54" s="540">
        <f>(AH$57+IF(AH54&gt;(AH$60),AH54-AH$60,0))*(1+$AH$59)/'Electrification of Gas End Uses'!$D$12</f>
        <v>1.9</v>
      </c>
      <c r="AQ54" s="541" t="e">
        <f t="shared" si="46"/>
        <v>#DIV/0!</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0.38554216867469876</v>
      </c>
      <c r="J57" s="533"/>
      <c r="K57" s="535">
        <f>INDEX('Typology Baseline - climate adj'!$B$4:$B$8,MATCH(C3,'Typology Baseline - climate adj'!A4:A8,0))</f>
        <v>0.86346863468634671</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0.69238344416803888</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row r="65" spans="1:43" ht="14.25" x14ac:dyDescent="0.2">
      <c r="A65" s="138"/>
      <c r="B65" s="138"/>
      <c r="C65" s="138"/>
      <c r="D65" s="138"/>
      <c r="E65" s="138"/>
      <c r="F65" s="526"/>
      <c r="G65" s="526"/>
      <c r="H65" s="526"/>
      <c r="K65" s="138"/>
      <c r="L65" s="138"/>
      <c r="M65" s="138"/>
      <c r="N65" s="138"/>
      <c r="O65" s="138"/>
      <c r="P65" s="138"/>
      <c r="Q65" s="138"/>
      <c r="R65" s="138"/>
      <c r="S65" s="138"/>
      <c r="T65" s="138"/>
      <c r="U65" s="138"/>
      <c r="V65" s="138"/>
      <c r="W65" s="138"/>
      <c r="Z65" s="526"/>
      <c r="AA65" s="526"/>
      <c r="AB65" s="526"/>
      <c r="AC65" s="526"/>
      <c r="AD65" s="138"/>
      <c r="AE65" s="138"/>
      <c r="AJ65" s="138"/>
      <c r="AK65" s="526"/>
      <c r="AL65" s="526"/>
    </row>
    <row r="66" spans="1:43" ht="14.25" x14ac:dyDescent="0.2">
      <c r="A66" s="138"/>
      <c r="B66" s="138"/>
      <c r="C66" s="138"/>
      <c r="D66" s="138"/>
      <c r="E66" s="138"/>
      <c r="F66" s="536"/>
      <c r="G66" s="509"/>
      <c r="H66" s="512"/>
      <c r="I66" s="537"/>
      <c r="J66" s="537"/>
      <c r="K66" s="537"/>
      <c r="L66" s="537"/>
      <c r="M66" s="537"/>
      <c r="N66" s="537"/>
      <c r="O66" s="537"/>
      <c r="P66" s="537"/>
      <c r="Q66" s="537"/>
      <c r="R66" s="537"/>
      <c r="S66" s="138"/>
      <c r="T66" s="537"/>
      <c r="U66" s="537"/>
      <c r="V66" s="537"/>
      <c r="W66" s="138"/>
      <c r="Z66" s="529"/>
      <c r="AA66" s="529"/>
      <c r="AB66" s="529"/>
      <c r="AC66" s="529"/>
      <c r="AD66" s="537"/>
      <c r="AE66" s="537"/>
      <c r="AF66" s="537"/>
      <c r="AG66" s="537"/>
      <c r="AH66" s="537"/>
      <c r="AJ66" s="529"/>
      <c r="AK66" s="529"/>
      <c r="AL66" s="529"/>
      <c r="AO66" s="529"/>
    </row>
    <row r="67" spans="1:43" ht="14.25" x14ac:dyDescent="0.2">
      <c r="A67" s="526"/>
      <c r="C67" s="526"/>
      <c r="D67" s="530"/>
      <c r="E67" s="526"/>
      <c r="F67" s="506"/>
      <c r="G67" s="506"/>
      <c r="H67" s="506"/>
      <c r="I67" s="538"/>
      <c r="J67" s="538"/>
      <c r="K67" s="538"/>
      <c r="L67" s="538"/>
      <c r="M67" s="538"/>
      <c r="N67" s="538"/>
      <c r="O67" s="538"/>
      <c r="P67" s="538"/>
      <c r="Q67" s="538"/>
      <c r="R67" s="538"/>
      <c r="S67" s="138"/>
      <c r="T67" s="416"/>
      <c r="U67" s="416"/>
      <c r="V67" s="533"/>
      <c r="W67" s="138"/>
      <c r="Z67" s="525"/>
      <c r="AA67" s="533"/>
      <c r="AB67" s="533"/>
      <c r="AC67" s="533"/>
      <c r="AD67" s="525"/>
      <c r="AE67" s="538"/>
      <c r="AF67" s="538"/>
      <c r="AG67" s="538"/>
      <c r="AH67" s="539"/>
      <c r="AJ67" s="525"/>
      <c r="AK67" s="533"/>
      <c r="AL67" s="533"/>
      <c r="AN67" s="534"/>
      <c r="AO67" s="534"/>
      <c r="AP67" s="540"/>
      <c r="AQ67" s="541"/>
    </row>
    <row r="68" spans="1:43" ht="14.25" x14ac:dyDescent="0.2">
      <c r="A68" s="526"/>
      <c r="Q68" s="538"/>
      <c r="R68" s="538"/>
      <c r="S68" s="138"/>
      <c r="T68" s="416"/>
      <c r="U68" s="416"/>
      <c r="V68" s="533"/>
      <c r="W68" s="138"/>
      <c r="Z68" s="525"/>
      <c r="AA68" s="533"/>
      <c r="AB68" s="533"/>
      <c r="AC68" s="533"/>
      <c r="AD68" s="525"/>
      <c r="AE68" s="538"/>
      <c r="AF68" s="538"/>
      <c r="AG68" s="538"/>
      <c r="AH68" s="539"/>
      <c r="AJ68" s="525"/>
      <c r="AK68" s="533"/>
      <c r="AL68" s="533"/>
      <c r="AN68" s="534"/>
      <c r="AO68" s="534"/>
      <c r="AP68" s="540"/>
      <c r="AQ68" s="541"/>
    </row>
    <row r="69" spans="1:43" ht="14.25" x14ac:dyDescent="0.2">
      <c r="A69" s="526"/>
      <c r="Q69" s="538"/>
      <c r="R69" s="538"/>
      <c r="S69" s="138"/>
      <c r="T69" s="416"/>
      <c r="U69" s="416"/>
      <c r="V69" s="533"/>
      <c r="W69" s="138"/>
      <c r="Z69" s="525"/>
      <c r="AA69" s="533"/>
      <c r="AB69" s="533"/>
      <c r="AC69" s="533"/>
      <c r="AD69" s="525"/>
      <c r="AE69" s="538"/>
      <c r="AF69" s="538"/>
      <c r="AG69" s="538"/>
      <c r="AH69" s="539"/>
      <c r="AJ69" s="525"/>
      <c r="AK69" s="533"/>
      <c r="AL69" s="533"/>
      <c r="AN69" s="534"/>
      <c r="AO69" s="534"/>
      <c r="AP69" s="540"/>
      <c r="AQ69" s="541"/>
    </row>
    <row r="70" spans="1:43" ht="14.25" x14ac:dyDescent="0.2">
      <c r="A70" s="526"/>
      <c r="Q70" s="538"/>
      <c r="R70" s="538"/>
      <c r="T70" s="416"/>
      <c r="U70" s="416"/>
      <c r="V70" s="533"/>
      <c r="Z70" s="525"/>
      <c r="AA70" s="533"/>
      <c r="AB70" s="533"/>
      <c r="AC70" s="533"/>
      <c r="AD70" s="525"/>
      <c r="AE70" s="538"/>
      <c r="AF70" s="538"/>
      <c r="AG70" s="538"/>
      <c r="AH70" s="539"/>
      <c r="AJ70" s="525"/>
      <c r="AK70" s="533"/>
      <c r="AL70" s="533"/>
      <c r="AN70" s="534"/>
      <c r="AO70" s="534"/>
      <c r="AP70" s="540"/>
      <c r="AQ70" s="541"/>
    </row>
  </sheetData>
  <mergeCells count="6">
    <mergeCell ref="N10:P10"/>
    <mergeCell ref="Q10:S10"/>
    <mergeCell ref="T10:V10"/>
    <mergeCell ref="I34:J34"/>
    <mergeCell ref="K34:N34"/>
    <mergeCell ref="K10:M10"/>
  </mergeCells>
  <conditionalFormatting sqref="Z15:AB30">
    <cfRule type="dataBar" priority="3">
      <dataBar>
        <cfvo type="min"/>
        <cfvo type="max"/>
        <color rgb="FF63C384"/>
      </dataBar>
      <extLst>
        <ext xmlns:x14="http://schemas.microsoft.com/office/spreadsheetml/2009/9/main" uri="{B025F937-C7B1-47D3-B67F-A62EFF666E3E}">
          <x14:id>{B9E5E018-2C46-4AAD-BACE-989F9770AC4E}</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{B6FC25AF-68F4-4274-8F82-933ED558623D}</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{F9A597A7-F734-4628-9C55-8E7DBE34186D}</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{396F4C4F-FAFE-4213-9AEF-7BD46EA3DA97}</x14:id>
        </ext>
      </extLst>
    </cfRule>
  </conditionalFormatting>
  <dataValidations count="7">
    <dataValidation allowBlank="1" showErrorMessage="1" prompt="If energy data is available for these typologies, enter it here. For any typologies where energy data is not available, CBECS data will be used for baseline information. " sqref="F12:F30" xr:uid="{4F8F1A73-581E-4731-873D-102A84FB7184}"/>
    <dataValidation allowBlank="1" showErrorMessage="1" sqref="C26:D30" xr:uid="{54F38248-D9D1-4F0A-B471-067B184D9355}"/>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380F37B3-6C8E-44DB-B521-AD7BF8F459FA}">
      <formula1>-1</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B001713A-081C-47B7-97F5-4840F43707FD}">
      <formula1>-1</formula1>
      <formula2>1</formula2>
    </dataValidation>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B875E415-EADE-4569-A7F5-B09C6F8EF9D9}">
      <formula1>0</formula1>
      <formula2>1</formula2>
    </dataValidation>
    <dataValidation allowBlank="1" showInputMessage="1" showErrorMessage="1" prompt="source (page 7, figure 1): https://portfoliomanager.energystar.gov/pdf/reference/Emissions.pdf" sqref="Z3" xr:uid="{4B63D1D1-B9BF-420A-9558-ABF66726E0D8}"/>
    <dataValidation allowBlank="1" showInputMessage="1" showErrorMessage="1" prompt="If energy data is available for these typologies, enter it here. For any typologies where energy data is not available, CBECS data will be used for baseline information. " sqref="C12:D25" xr:uid="{345CC5A5-71A0-495D-BAC5-6065987C75BD}"/>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B9E5E018-2C46-4AAD-BACE-989F9770AC4E}">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B6FC25AF-68F4-4274-8F82-933ED558623D}">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F9A597A7-F734-4628-9C55-8E7DBE34186D}">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396F4C4F-FAFE-4213-9AEF-7BD46EA3DA97}">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xr:uid="{4E1D423F-0784-43D8-ADC1-C51BA4392739}">
          <x14:formula1>
            <xm:f>'Typology Baseline - climate adj'!$A$56:$A$57</xm:f>
          </x14:formula1>
          <xm:sqref>G12:H30</xm:sqref>
        </x14:dataValidation>
        <x14:dataValidation type="list" allowBlank="1" showInputMessage="1" showErrorMessage="1" xr:uid="{6C376ECA-236E-4F1D-8B63-6FF702E45E37}">
          <x14:formula1>
            <xm:f>'Typology Baseline - climate adj'!$A$4:$A$8</xm:f>
          </x14:formula1>
          <xm:sqref>C3</xm:sqref>
        </x14:dataValidation>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93895FF0-1A8E-49AE-90BA-749F600E90BB}">
          <x14:formula1>
            <xm:f>'GHG Coefficient Lookup'!$AD$3:$AD$6</xm:f>
          </x14:formula1>
          <xm:sqref>C4</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C7FDC9DB-4256-4B82-92CD-A5A65BD309E7}">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'Seattle''s Typologies'!AK12:AN12</xm:f>
              <xm:sqref>W12</xm:sqref>
            </x14:sparkline>
            <x14:sparkline>
              <xm:f>'Seattle''s Typologies'!AK13:AN13</xm:f>
              <xm:sqref>W13</xm:sqref>
            </x14:sparkline>
            <x14:sparkline>
              <xm:f>'Seattle''s Typologies'!AK14:AN14</xm:f>
              <xm:sqref>W14</xm:sqref>
            </x14:sparkline>
            <x14:sparkline>
              <xm:f>'Seattle''s Typologies'!AK15:AN15</xm:f>
              <xm:sqref>W15</xm:sqref>
            </x14:sparkline>
            <x14:sparkline>
              <xm:f>'Seattle''s Typologies'!AK16:AN16</xm:f>
              <xm:sqref>W16</xm:sqref>
            </x14:sparkline>
            <x14:sparkline>
              <xm:f>'Seattle''s Typologies'!AK17:AN17</xm:f>
              <xm:sqref>W17</xm:sqref>
            </x14:sparkline>
            <x14:sparkline>
              <xm:f>'Seattle''s Typologies'!AK18:AN18</xm:f>
              <xm:sqref>W18</xm:sqref>
            </x14:sparkline>
            <x14:sparkline>
              <xm:f>'Seattle''s Typologies'!AK19:AN19</xm:f>
              <xm:sqref>W19</xm:sqref>
            </x14:sparkline>
            <x14:sparkline>
              <xm:f>'Seattle''s Typologies'!AK20:AN20</xm:f>
              <xm:sqref>W20</xm:sqref>
            </x14:sparkline>
            <x14:sparkline>
              <xm:f>'Seattle''s Typologies'!AK21:AN21</xm:f>
              <xm:sqref>W21</xm:sqref>
            </x14:sparkline>
            <x14:sparkline>
              <xm:f>'Seattle''s Typologies'!AK22:AN22</xm:f>
              <xm:sqref>W22</xm:sqref>
            </x14:sparkline>
            <x14:sparkline>
              <xm:f>'Seattle''s Typologies'!AK23:AN23</xm:f>
              <xm:sqref>W23</xm:sqref>
            </x14:sparkline>
            <x14:sparkline>
              <xm:f>'Seattle''s Typologies'!AK24:AN24</xm:f>
              <xm:sqref>W24</xm:sqref>
            </x14:sparkline>
            <x14:sparkline>
              <xm:f>'Seattle''s Typologies'!AK25:AN25</xm:f>
              <xm:sqref>W25</xm:sqref>
            </x14:sparkline>
            <x14:sparkline>
              <xm:f>'Seattle''s Typologies'!AK26:AN26</xm:f>
              <xm:sqref>W26</xm:sqref>
            </x14:sparkline>
            <x14:sparkline>
              <xm:f>'Seattle''s Typologies'!AK27:AN27</xm:f>
              <xm:sqref>W27</xm:sqref>
            </x14:sparkline>
            <x14:sparkline>
              <xm:f>'Seattle''s Typologies'!AK28:AN28</xm:f>
              <xm:sqref>W28</xm:sqref>
            </x14:sparkline>
            <x14:sparkline>
              <xm:f>'Seattle''s Typologies'!AK29:AN29</xm:f>
              <xm:sqref>W29</xm:sqref>
            </x14:sparkline>
            <x14:sparkline>
              <xm:f>'Seattle''s Typologies'!AK30:AN30</xm:f>
              <xm:sqref>W30</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11FE0-C666-4159-8CDE-881E2D9C8A4D}">
  <sheetPr>
    <tabColor theme="0" tint="-0.499984740745262"/>
  </sheetPr>
  <dimension ref="A1"/>
  <sheetViews>
    <sheetView workbookViewId="0"/>
  </sheetViews>
  <sheetFormatPr defaultRowHeight="15" x14ac:dyDescent="0.25"/>
  <cols>
    <col min="1" max="1" width="27.140625" customWidth="1"/>
  </cols>
  <sheetData>
    <row r="1" spans="1:1" ht="51.75" x14ac:dyDescent="0.25">
      <c r="A1" s="484" t="s">
        <v>1494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42B4-8B8B-4918-A77C-63DE0D221D44}">
  <dimension ref="A1:Y52"/>
  <sheetViews>
    <sheetView workbookViewId="0">
      <selection activeCell="A13" sqref="A13"/>
    </sheetView>
  </sheetViews>
  <sheetFormatPr defaultColWidth="9.140625" defaultRowHeight="12.75" x14ac:dyDescent="0.2"/>
  <cols>
    <col min="1" max="1" width="75.42578125" style="196" customWidth="1"/>
    <col min="2" max="2" width="24" style="196" bestFit="1" customWidth="1"/>
    <col min="3" max="3" width="53.28515625" style="196" customWidth="1"/>
    <col min="4" max="4" width="19" style="196" customWidth="1"/>
    <col min="5" max="5" width="10.5703125" style="196" bestFit="1" customWidth="1"/>
    <col min="6" max="6" width="10.7109375" style="196" customWidth="1"/>
    <col min="7" max="7" width="9.7109375" style="196" bestFit="1" customWidth="1"/>
    <col min="8" max="8" width="7.7109375" style="196" bestFit="1" customWidth="1"/>
    <col min="9" max="9" width="29.85546875" style="196" customWidth="1"/>
    <col min="10" max="13" width="13.85546875" style="196" customWidth="1"/>
    <col min="14" max="15" width="9.7109375" style="196" bestFit="1" customWidth="1"/>
    <col min="16" max="16" width="14.7109375" style="196" customWidth="1"/>
    <col min="17" max="17" width="23.28515625" style="196" bestFit="1" customWidth="1"/>
    <col min="18" max="18" width="19.140625" style="196" bestFit="1" customWidth="1"/>
    <col min="19" max="25" width="9.140625" style="196"/>
    <col min="26" max="26" width="26.42578125" style="196" bestFit="1" customWidth="1"/>
    <col min="27" max="33" width="9.140625" style="196"/>
    <col min="34" max="34" width="17" style="196" bestFit="1" customWidth="1"/>
    <col min="35" max="38" width="9.140625" style="196"/>
    <col min="39" max="39" width="17.140625" style="196" customWidth="1"/>
    <col min="40" max="16384" width="9.140625" style="196"/>
  </cols>
  <sheetData>
    <row r="1" spans="1:15" ht="93" customHeight="1" thickBot="1" x14ac:dyDescent="0.25">
      <c r="A1" s="559" t="s">
        <v>1503</v>
      </c>
      <c r="B1" s="395"/>
      <c r="C1" s="395"/>
      <c r="D1" s="395"/>
      <c r="E1" s="395"/>
      <c r="F1" s="395"/>
      <c r="G1" s="395"/>
      <c r="H1" s="395"/>
      <c r="I1" s="395"/>
      <c r="J1" s="395"/>
      <c r="K1" s="395"/>
      <c r="L1" s="395"/>
      <c r="M1" s="395"/>
      <c r="N1" s="395"/>
      <c r="O1" s="395"/>
    </row>
    <row r="2" spans="1:15" ht="26.25" x14ac:dyDescent="0.25">
      <c r="A2" s="415" t="s">
        <v>547</v>
      </c>
      <c r="B2" s="355" t="s">
        <v>548</v>
      </c>
      <c r="C2" s="427"/>
      <c r="D2" s="427"/>
      <c r="E2" s="427"/>
      <c r="F2" s="427"/>
      <c r="G2" s="427"/>
      <c r="H2" s="427"/>
      <c r="I2" s="428"/>
      <c r="J2" s="395"/>
      <c r="K2" s="395"/>
      <c r="L2" s="395"/>
      <c r="M2" s="395"/>
      <c r="N2" s="395"/>
      <c r="O2" s="395"/>
    </row>
    <row r="3" spans="1:15" ht="24" x14ac:dyDescent="0.2">
      <c r="A3" s="415"/>
      <c r="B3" s="429"/>
      <c r="C3" s="408"/>
      <c r="D3" s="357" t="str">
        <f>'Typology Baseline - climate adj'!C12</f>
        <v>Space
heating</v>
      </c>
      <c r="E3" s="357" t="str">
        <f>'Typology Baseline - climate adj'!D12</f>
        <v>Water
heating</v>
      </c>
      <c r="F3" s="357" t="str">
        <f>'Typology Baseline - climate adj'!E12</f>
        <v>Cooking</v>
      </c>
      <c r="G3" s="357" t="str">
        <f>'Typology Baseline - climate adj'!F12</f>
        <v>Other</v>
      </c>
      <c r="H3" s="408"/>
      <c r="I3" s="356" t="s">
        <v>549</v>
      </c>
      <c r="J3" s="395"/>
      <c r="K3" s="395"/>
      <c r="L3" s="395"/>
      <c r="M3" s="395"/>
      <c r="N3" s="395"/>
      <c r="O3" s="395"/>
    </row>
    <row r="4" spans="1:15" x14ac:dyDescent="0.2">
      <c r="A4" s="415"/>
      <c r="B4" s="235" t="s">
        <v>550</v>
      </c>
      <c r="C4" s="128" t="s">
        <v>551</v>
      </c>
      <c r="D4" s="359">
        <f>D14</f>
        <v>0.32</v>
      </c>
      <c r="E4" s="359">
        <f>D22</f>
        <v>0.40909090909090906</v>
      </c>
      <c r="F4" s="359">
        <f>D40</f>
        <v>0.60920177383592022</v>
      </c>
      <c r="G4" s="359">
        <f>D46</f>
        <v>0.88549618320610679</v>
      </c>
      <c r="H4" s="412"/>
      <c r="I4" s="410"/>
      <c r="J4" s="395"/>
      <c r="K4" s="395"/>
      <c r="L4" s="395"/>
      <c r="M4" s="395"/>
      <c r="N4" s="395"/>
      <c r="O4" s="395"/>
    </row>
    <row r="5" spans="1:15" ht="25.5" x14ac:dyDescent="0.2">
      <c r="A5" s="415"/>
      <c r="B5" s="429" t="s">
        <v>552</v>
      </c>
      <c r="C5" s="409" t="s">
        <v>553</v>
      </c>
      <c r="D5" s="430">
        <f>E11</f>
        <v>9.9219620958751378E-2</v>
      </c>
      <c r="E5" s="430">
        <f>M19</f>
        <v>0.10377659574468086</v>
      </c>
      <c r="F5" s="430">
        <f>K33</f>
        <v>0.758041078225412</v>
      </c>
      <c r="G5" s="430">
        <f>E43/(I43*3.412)</f>
        <v>0.63984639094312756</v>
      </c>
      <c r="H5" s="412"/>
      <c r="I5" s="431">
        <v>12</v>
      </c>
      <c r="J5" s="395"/>
      <c r="K5" s="395"/>
      <c r="L5" s="395"/>
      <c r="M5" s="395"/>
      <c r="N5" s="395"/>
      <c r="O5" s="395"/>
    </row>
    <row r="6" spans="1:15" x14ac:dyDescent="0.2">
      <c r="A6" s="415"/>
      <c r="B6" s="429" t="s">
        <v>552</v>
      </c>
      <c r="C6" s="408" t="s">
        <v>554</v>
      </c>
      <c r="D6" s="430">
        <f>E12</f>
        <v>1.0290897390579257</v>
      </c>
      <c r="E6" s="430">
        <f>M20</f>
        <v>0.23005319148936171</v>
      </c>
      <c r="F6" s="430">
        <f>K34</f>
        <v>0.72274521098936628</v>
      </c>
      <c r="G6" s="430">
        <f>E44/(I43*3.412)</f>
        <v>0.59716150829181813</v>
      </c>
      <c r="H6" s="412"/>
      <c r="I6" s="332" t="s">
        <v>555</v>
      </c>
      <c r="J6" s="395"/>
      <c r="K6" s="395"/>
      <c r="L6" s="395"/>
      <c r="M6" s="395"/>
      <c r="N6" s="395"/>
      <c r="O6" s="395"/>
    </row>
    <row r="7" spans="1:15" ht="30.75" thickBot="1" x14ac:dyDescent="0.3">
      <c r="A7" s="415"/>
      <c r="B7" s="432" t="s">
        <v>552</v>
      </c>
      <c r="C7" s="433" t="s">
        <v>556</v>
      </c>
      <c r="D7" s="434">
        <f>E14</f>
        <v>10.371837032977073</v>
      </c>
      <c r="E7" s="434">
        <f>F22</f>
        <v>2.2168118913377755</v>
      </c>
      <c r="F7" s="434">
        <f>I33</f>
        <v>0.95343805467815279</v>
      </c>
      <c r="G7" s="434">
        <f>F46</f>
        <v>0.93328885923949301</v>
      </c>
      <c r="H7" s="434"/>
      <c r="I7" s="360" t="s">
        <v>557</v>
      </c>
      <c r="J7" s="395"/>
      <c r="K7" s="395"/>
      <c r="L7" s="395"/>
      <c r="M7" s="395"/>
      <c r="N7" s="395"/>
      <c r="O7" s="395"/>
    </row>
    <row r="8" spans="1:15" x14ac:dyDescent="0.2">
      <c r="A8" s="415"/>
      <c r="B8" s="395"/>
      <c r="C8" s="395"/>
      <c r="D8" s="395"/>
      <c r="E8" s="395"/>
      <c r="F8" s="395"/>
      <c r="G8" s="395"/>
      <c r="H8" s="395"/>
      <c r="I8" s="395"/>
      <c r="J8" s="395"/>
      <c r="K8" s="395"/>
      <c r="L8" s="395"/>
      <c r="M8" s="395"/>
      <c r="N8" s="395"/>
      <c r="O8" s="395"/>
    </row>
    <row r="9" spans="1:15" ht="13.5" thickBot="1" x14ac:dyDescent="0.25">
      <c r="A9" s="415"/>
      <c r="B9" s="395"/>
      <c r="C9" s="395"/>
      <c r="D9" s="395"/>
      <c r="E9" s="395"/>
      <c r="F9" s="395"/>
      <c r="G9" s="395"/>
      <c r="H9" s="395"/>
      <c r="I9" s="395"/>
      <c r="J9" s="395"/>
      <c r="K9" s="395"/>
      <c r="L9" s="395"/>
      <c r="M9" s="395"/>
      <c r="N9" s="395"/>
      <c r="O9" s="395"/>
    </row>
    <row r="10" spans="1:15" ht="18" x14ac:dyDescent="0.25">
      <c r="A10" s="395"/>
      <c r="B10" s="355" t="s">
        <v>510</v>
      </c>
      <c r="C10" s="427"/>
      <c r="D10" s="427" t="s">
        <v>558</v>
      </c>
      <c r="E10" s="427" t="s">
        <v>559</v>
      </c>
      <c r="F10" s="427"/>
      <c r="G10" s="427"/>
      <c r="H10" s="428"/>
      <c r="I10" s="395"/>
      <c r="J10" s="395"/>
      <c r="K10" s="395"/>
      <c r="L10" s="395"/>
      <c r="M10" s="395"/>
      <c r="N10" s="395"/>
      <c r="O10" s="395"/>
    </row>
    <row r="11" spans="1:15" x14ac:dyDescent="0.2">
      <c r="A11" s="395"/>
      <c r="B11" s="429"/>
      <c r="C11" s="408" t="s">
        <v>560</v>
      </c>
      <c r="D11" s="408">
        <v>0.8</v>
      </c>
      <c r="E11" s="430">
        <f>'Rough cost estimates-spacehtg'!B10/'Rough cost estimates-spacehtg'!C10</f>
        <v>9.9219620958751378E-2</v>
      </c>
      <c r="F11" s="408"/>
      <c r="G11" s="408"/>
      <c r="H11" s="435"/>
      <c r="I11" s="395"/>
      <c r="J11" s="395"/>
      <c r="K11" s="395"/>
      <c r="L11" s="395"/>
      <c r="M11" s="395"/>
      <c r="N11" s="395"/>
      <c r="O11" s="395"/>
    </row>
    <row r="12" spans="1:15" x14ac:dyDescent="0.2">
      <c r="A12" s="395"/>
      <c r="B12" s="429"/>
      <c r="C12" s="408" t="s">
        <v>561</v>
      </c>
      <c r="D12" s="408">
        <v>2.5</v>
      </c>
      <c r="E12" s="430">
        <f>'Rough cost estimates-spacehtg'!B18/'Rough cost estimates-spacehtg'!C18</f>
        <v>1.0290897390579257</v>
      </c>
      <c r="F12" s="408"/>
      <c r="G12" s="408"/>
      <c r="H12" s="435"/>
      <c r="I12" s="395"/>
      <c r="J12" s="395"/>
      <c r="K12" s="395"/>
      <c r="L12" s="395"/>
      <c r="M12" s="395"/>
      <c r="N12" s="395"/>
      <c r="O12" s="395"/>
    </row>
    <row r="13" spans="1:15" x14ac:dyDescent="0.2">
      <c r="A13" s="395"/>
      <c r="B13" s="429"/>
      <c r="C13" s="408"/>
      <c r="D13" s="408"/>
      <c r="E13" s="408"/>
      <c r="F13" s="408"/>
      <c r="G13" s="408"/>
      <c r="H13" s="435"/>
      <c r="I13" s="395"/>
      <c r="J13" s="395"/>
      <c r="K13" s="395"/>
      <c r="L13" s="395"/>
      <c r="M13" s="395"/>
      <c r="N13" s="395"/>
      <c r="O13" s="395"/>
    </row>
    <row r="14" spans="1:15" ht="13.5" thickBot="1" x14ac:dyDescent="0.25">
      <c r="A14" s="395"/>
      <c r="B14" s="432"/>
      <c r="C14" s="433" t="s">
        <v>562</v>
      </c>
      <c r="D14" s="434">
        <f>D11/D12</f>
        <v>0.32</v>
      </c>
      <c r="E14" s="434">
        <f>E12/E11</f>
        <v>10.371837032977073</v>
      </c>
      <c r="F14" s="433"/>
      <c r="G14" s="433"/>
      <c r="H14" s="436"/>
      <c r="I14" s="395"/>
      <c r="J14" s="395"/>
      <c r="K14" s="395"/>
      <c r="L14" s="395"/>
      <c r="M14" s="395"/>
      <c r="N14" s="395"/>
      <c r="O14" s="395"/>
    </row>
    <row r="15" spans="1:15" ht="13.5" thickBot="1" x14ac:dyDescent="0.25">
      <c r="A15" s="395"/>
      <c r="B15" s="395"/>
      <c r="C15" s="395"/>
      <c r="D15" s="395"/>
      <c r="E15" s="395"/>
      <c r="F15" s="395"/>
      <c r="G15" s="395"/>
      <c r="H15" s="395"/>
      <c r="I15" s="395"/>
      <c r="J15" s="395"/>
      <c r="K15" s="395"/>
      <c r="L15" s="395"/>
      <c r="M15" s="395"/>
      <c r="N15" s="395"/>
      <c r="O15" s="395"/>
    </row>
    <row r="16" spans="1:15" ht="18" x14ac:dyDescent="0.25">
      <c r="A16" s="395"/>
      <c r="B16" s="355" t="s">
        <v>511</v>
      </c>
      <c r="C16" s="427"/>
      <c r="D16" s="427"/>
      <c r="E16" s="427"/>
      <c r="F16" s="427"/>
      <c r="G16" s="427"/>
      <c r="H16" s="427"/>
      <c r="I16" s="427"/>
      <c r="J16" s="427"/>
      <c r="K16" s="427"/>
      <c r="L16" s="427"/>
      <c r="M16" s="427"/>
      <c r="N16" s="427"/>
      <c r="O16" s="428"/>
    </row>
    <row r="17" spans="2:25" x14ac:dyDescent="0.2">
      <c r="B17" s="429"/>
      <c r="C17" s="408"/>
      <c r="D17" s="408"/>
      <c r="E17" s="408"/>
      <c r="F17" s="408"/>
      <c r="G17" s="408"/>
      <c r="H17" s="408"/>
      <c r="I17" s="408"/>
      <c r="J17" s="408"/>
      <c r="K17" s="408"/>
      <c r="L17" s="408"/>
      <c r="M17" s="408"/>
      <c r="N17" s="408"/>
      <c r="O17" s="435"/>
      <c r="P17" s="395"/>
      <c r="Q17" s="395"/>
      <c r="R17" s="395"/>
      <c r="S17" s="395"/>
      <c r="T17" s="395"/>
      <c r="U17" s="395"/>
      <c r="V17" s="395"/>
      <c r="W17" s="395"/>
      <c r="X17" s="395"/>
      <c r="Y17" s="395"/>
    </row>
    <row r="18" spans="2:25" x14ac:dyDescent="0.2">
      <c r="B18" s="429"/>
      <c r="C18" s="408"/>
      <c r="D18" s="408" t="s">
        <v>558</v>
      </c>
      <c r="E18" s="408"/>
      <c r="F18" s="408"/>
      <c r="G18" s="408" t="s">
        <v>563</v>
      </c>
      <c r="H18" s="408" t="s">
        <v>564</v>
      </c>
      <c r="I18" s="408" t="s">
        <v>565</v>
      </c>
      <c r="J18" s="408"/>
      <c r="K18" s="408" t="s">
        <v>566</v>
      </c>
      <c r="L18" s="408"/>
      <c r="M18" s="408"/>
      <c r="N18" s="408"/>
      <c r="O18" s="435"/>
      <c r="P18" s="395"/>
      <c r="Q18" s="395"/>
      <c r="R18" s="395"/>
      <c r="S18" s="395"/>
      <c r="T18" s="395"/>
      <c r="U18" s="395"/>
      <c r="V18" s="395"/>
      <c r="W18" s="395"/>
      <c r="X18" s="395"/>
      <c r="Y18" s="395"/>
    </row>
    <row r="19" spans="2:25" ht="15" x14ac:dyDescent="0.25">
      <c r="B19" s="429"/>
      <c r="C19" s="408" t="s">
        <v>567</v>
      </c>
      <c r="D19" s="408">
        <v>0.9</v>
      </c>
      <c r="E19" s="408" t="s">
        <v>568</v>
      </c>
      <c r="F19" s="408"/>
      <c r="G19" s="404">
        <v>1951</v>
      </c>
      <c r="H19" s="408">
        <v>76</v>
      </c>
      <c r="I19" s="226" t="s">
        <v>569</v>
      </c>
      <c r="J19" s="408"/>
      <c r="K19" s="408">
        <f>188*100</f>
        <v>18800</v>
      </c>
      <c r="L19" s="203" t="s">
        <v>570</v>
      </c>
      <c r="M19" s="430">
        <f>G19/K19</f>
        <v>0.10377659574468086</v>
      </c>
      <c r="N19" s="408"/>
      <c r="O19" s="435"/>
      <c r="P19" s="395"/>
      <c r="Q19" s="395"/>
      <c r="R19" s="395"/>
      <c r="S19" s="395"/>
      <c r="T19" s="395"/>
      <c r="U19" s="395"/>
      <c r="V19" s="395"/>
      <c r="W19" s="395"/>
      <c r="X19" s="395"/>
      <c r="Y19" s="395"/>
    </row>
    <row r="20" spans="2:25" x14ac:dyDescent="0.2">
      <c r="B20" s="429"/>
      <c r="C20" s="408" t="s">
        <v>571</v>
      </c>
      <c r="D20" s="408">
        <v>2.2000000000000002</v>
      </c>
      <c r="E20" s="408" t="s">
        <v>572</v>
      </c>
      <c r="F20" s="408"/>
      <c r="G20" s="404">
        <v>4325</v>
      </c>
      <c r="H20" s="408">
        <v>158</v>
      </c>
      <c r="I20" s="226" t="s">
        <v>573</v>
      </c>
      <c r="J20" s="408"/>
      <c r="K20" s="395"/>
      <c r="L20" s="408"/>
      <c r="M20" s="430">
        <f>G20/K19</f>
        <v>0.23005319148936171</v>
      </c>
      <c r="N20" s="408"/>
      <c r="O20" s="435"/>
      <c r="P20" s="395"/>
      <c r="Q20" s="395"/>
      <c r="R20" s="395"/>
      <c r="S20" s="395"/>
      <c r="T20" s="395"/>
      <c r="U20" s="395"/>
      <c r="V20" s="395"/>
      <c r="W20" s="395"/>
      <c r="X20" s="395"/>
      <c r="Y20" s="395"/>
    </row>
    <row r="21" spans="2:25" x14ac:dyDescent="0.2">
      <c r="B21" s="429"/>
      <c r="C21" s="408"/>
      <c r="D21" s="408"/>
      <c r="E21" s="408"/>
      <c r="F21" s="408"/>
      <c r="G21" s="408"/>
      <c r="H21" s="408"/>
      <c r="I21" s="408"/>
      <c r="J21" s="408"/>
      <c r="K21" s="408"/>
      <c r="L21" s="408"/>
      <c r="M21" s="408"/>
      <c r="N21" s="408"/>
      <c r="O21" s="435"/>
      <c r="P21" s="395"/>
      <c r="Q21" s="395"/>
      <c r="R21" s="395"/>
      <c r="S21" s="395"/>
      <c r="T21" s="395"/>
      <c r="U21" s="395"/>
      <c r="V21" s="395"/>
      <c r="W21" s="395"/>
      <c r="X21" s="395"/>
      <c r="Y21" s="395"/>
    </row>
    <row r="22" spans="2:25" ht="13.5" thickBot="1" x14ac:dyDescent="0.25">
      <c r="B22" s="432"/>
      <c r="C22" s="200" t="s">
        <v>574</v>
      </c>
      <c r="D22" s="201">
        <f>D19/D20</f>
        <v>0.40909090909090906</v>
      </c>
      <c r="E22" s="200" t="s">
        <v>575</v>
      </c>
      <c r="F22" s="434">
        <f>G20/G19</f>
        <v>2.2168118913377755</v>
      </c>
      <c r="G22" s="433" t="s">
        <v>576</v>
      </c>
      <c r="H22" s="433"/>
      <c r="I22" s="433"/>
      <c r="J22" s="433"/>
      <c r="K22" s="433"/>
      <c r="L22" s="433"/>
      <c r="M22" s="434">
        <f>M20/M19</f>
        <v>2.2168118913377755</v>
      </c>
      <c r="N22" s="433"/>
      <c r="O22" s="436"/>
      <c r="P22" s="395"/>
      <c r="Q22" s="395"/>
      <c r="R22" s="395"/>
      <c r="S22" s="395"/>
      <c r="T22" s="395"/>
      <c r="U22" s="395"/>
      <c r="V22" s="395"/>
      <c r="W22" s="395"/>
      <c r="X22" s="395"/>
      <c r="Y22" s="395"/>
    </row>
    <row r="23" spans="2:25" ht="13.5" thickBot="1" x14ac:dyDescent="0.25">
      <c r="B23" s="395"/>
      <c r="C23" s="395"/>
      <c r="D23" s="395"/>
      <c r="E23" s="395"/>
      <c r="F23" s="395"/>
      <c r="G23" s="395"/>
      <c r="H23" s="395"/>
      <c r="I23" s="395"/>
      <c r="J23" s="395"/>
      <c r="K23" s="395"/>
      <c r="L23" s="395"/>
      <c r="M23" s="395"/>
      <c r="N23" s="395"/>
      <c r="O23" s="395"/>
      <c r="P23" s="395"/>
      <c r="Q23" s="395"/>
      <c r="R23" s="395"/>
      <c r="S23" s="395"/>
      <c r="T23" s="395"/>
      <c r="U23" s="395"/>
      <c r="V23" s="395"/>
      <c r="W23" s="395"/>
      <c r="X23" s="395"/>
      <c r="Y23" s="395"/>
    </row>
    <row r="24" spans="2:25" ht="18" x14ac:dyDescent="0.25">
      <c r="B24" s="355" t="s">
        <v>577</v>
      </c>
      <c r="C24" s="427"/>
      <c r="D24" s="427"/>
      <c r="E24" s="427"/>
      <c r="F24" s="427"/>
      <c r="G24" s="427"/>
      <c r="H24" s="427"/>
      <c r="I24" s="427"/>
      <c r="J24" s="427"/>
      <c r="K24" s="427"/>
      <c r="L24" s="427"/>
      <c r="M24" s="427"/>
      <c r="N24" s="427"/>
      <c r="O24" s="427"/>
      <c r="P24" s="427"/>
      <c r="Q24" s="427"/>
      <c r="R24" s="427"/>
      <c r="S24" s="427"/>
      <c r="T24" s="427"/>
      <c r="U24" s="427"/>
      <c r="V24" s="427"/>
      <c r="W24" s="427"/>
      <c r="X24" s="428"/>
      <c r="Y24" s="408"/>
    </row>
    <row r="25" spans="2:25" x14ac:dyDescent="0.2">
      <c r="B25" s="429"/>
      <c r="C25" s="409" t="s">
        <v>578</v>
      </c>
      <c r="D25" s="408" t="s">
        <v>579</v>
      </c>
      <c r="E25" s="408" t="s">
        <v>579</v>
      </c>
      <c r="F25" s="408" t="s">
        <v>580</v>
      </c>
      <c r="G25" s="408" t="s">
        <v>580</v>
      </c>
      <c r="H25" s="408"/>
      <c r="I25" s="408" t="s">
        <v>581</v>
      </c>
      <c r="J25" s="408"/>
      <c r="K25" s="408"/>
      <c r="L25" s="408"/>
      <c r="M25" s="408"/>
      <c r="N25" s="408" t="s">
        <v>563</v>
      </c>
      <c r="O25" s="408" t="s">
        <v>563</v>
      </c>
      <c r="P25" s="408"/>
      <c r="Q25" s="408"/>
      <c r="R25" s="408"/>
      <c r="S25" s="408"/>
      <c r="T25" s="408"/>
      <c r="U25" s="408"/>
      <c r="V25" s="408"/>
      <c r="W25" s="408"/>
      <c r="X25" s="435"/>
      <c r="Y25" s="408"/>
    </row>
    <row r="26" spans="2:25" ht="38.25" x14ac:dyDescent="0.2">
      <c r="B26" s="429"/>
      <c r="C26" s="409" t="s">
        <v>578</v>
      </c>
      <c r="D26" s="403" t="s">
        <v>582</v>
      </c>
      <c r="E26" s="403" t="s">
        <v>583</v>
      </c>
      <c r="F26" s="403" t="s">
        <v>584</v>
      </c>
      <c r="G26" s="403" t="s">
        <v>585</v>
      </c>
      <c r="H26" s="408"/>
      <c r="I26" s="128" t="s">
        <v>586</v>
      </c>
      <c r="J26" s="128" t="s">
        <v>540</v>
      </c>
      <c r="K26" s="128" t="s">
        <v>587</v>
      </c>
      <c r="L26" s="128" t="s">
        <v>588</v>
      </c>
      <c r="M26" s="128" t="s">
        <v>589</v>
      </c>
      <c r="N26" s="409" t="s">
        <v>590</v>
      </c>
      <c r="O26" s="409" t="s">
        <v>591</v>
      </c>
      <c r="P26" s="408" t="s">
        <v>592</v>
      </c>
      <c r="Q26" s="409" t="s">
        <v>593</v>
      </c>
      <c r="R26" s="437" t="s">
        <v>594</v>
      </c>
      <c r="S26" s="408" t="s">
        <v>595</v>
      </c>
      <c r="T26" s="408" t="s">
        <v>596</v>
      </c>
      <c r="U26" s="408"/>
      <c r="V26" s="408"/>
      <c r="W26" s="408"/>
      <c r="X26" s="435"/>
      <c r="Y26" s="408"/>
    </row>
    <row r="27" spans="2:25" ht="15" x14ac:dyDescent="0.25">
      <c r="B27" s="429"/>
      <c r="C27" s="265" t="s">
        <v>597</v>
      </c>
      <c r="D27" s="438">
        <v>0.46</v>
      </c>
      <c r="E27" s="438">
        <v>0.71</v>
      </c>
      <c r="F27" s="439">
        <v>12</v>
      </c>
      <c r="G27" s="439">
        <f>1.6*3.412</f>
        <v>5.4592000000000001</v>
      </c>
      <c r="H27" s="402" t="s">
        <v>598</v>
      </c>
      <c r="I27" s="402">
        <v>19</v>
      </c>
      <c r="J27" s="402">
        <v>15</v>
      </c>
      <c r="K27" s="402">
        <v>18</v>
      </c>
      <c r="L27" s="402">
        <v>19</v>
      </c>
      <c r="M27" s="402">
        <v>18</v>
      </c>
      <c r="N27" s="404">
        <v>3810</v>
      </c>
      <c r="O27" s="404">
        <v>3630</v>
      </c>
      <c r="P27" s="412">
        <f>O27/N27</f>
        <v>0.952755905511811</v>
      </c>
      <c r="Q27" s="408" t="s">
        <v>599</v>
      </c>
      <c r="R27" s="266" t="s">
        <v>600</v>
      </c>
      <c r="S27" s="203" t="s">
        <v>601</v>
      </c>
      <c r="T27" s="203" t="s">
        <v>602</v>
      </c>
      <c r="U27" s="408"/>
      <c r="V27" s="408"/>
      <c r="W27" s="408"/>
      <c r="X27" s="435"/>
      <c r="Y27" s="408"/>
    </row>
    <row r="28" spans="2:25" ht="26.25" x14ac:dyDescent="0.25">
      <c r="B28" s="429"/>
      <c r="C28" s="265" t="s">
        <v>603</v>
      </c>
      <c r="D28" s="438">
        <v>0.5</v>
      </c>
      <c r="E28" s="438">
        <v>0.8</v>
      </c>
      <c r="F28" s="439">
        <v>12</v>
      </c>
      <c r="G28" s="439">
        <f>1.1*3.412</f>
        <v>3.7532000000000001</v>
      </c>
      <c r="H28" s="402" t="s">
        <v>604</v>
      </c>
      <c r="I28" s="402">
        <v>15</v>
      </c>
      <c r="J28" s="402">
        <v>17</v>
      </c>
      <c r="K28" s="402">
        <v>17</v>
      </c>
      <c r="L28" s="402">
        <v>15</v>
      </c>
      <c r="M28" s="402">
        <v>16</v>
      </c>
      <c r="N28" s="404">
        <v>22109</v>
      </c>
      <c r="O28" s="404">
        <v>19461</v>
      </c>
      <c r="P28" s="412">
        <f>O28/N28</f>
        <v>0.88022977068162289</v>
      </c>
      <c r="Q28" s="408" t="s">
        <v>605</v>
      </c>
      <c r="R28" s="266" t="s">
        <v>606</v>
      </c>
      <c r="S28" s="203" t="s">
        <v>607</v>
      </c>
      <c r="T28" s="203" t="s">
        <v>608</v>
      </c>
      <c r="U28" s="408"/>
      <c r="V28" s="408"/>
      <c r="W28" s="408"/>
      <c r="X28" s="435"/>
      <c r="Y28" s="408"/>
    </row>
    <row r="29" spans="2:25" ht="26.25" x14ac:dyDescent="0.25">
      <c r="B29" s="429"/>
      <c r="C29" s="265" t="s">
        <v>609</v>
      </c>
      <c r="D29" s="438">
        <v>0.38</v>
      </c>
      <c r="E29" s="438">
        <v>0.7</v>
      </c>
      <c r="F29" s="439">
        <v>2.65</v>
      </c>
      <c r="G29" s="439">
        <f>0.32*3.412</f>
        <v>1.0918399999999999</v>
      </c>
      <c r="H29" s="402" t="s">
        <v>610</v>
      </c>
      <c r="I29" s="402">
        <v>12</v>
      </c>
      <c r="J29" s="402"/>
      <c r="K29" s="402"/>
      <c r="L29" s="402">
        <v>18</v>
      </c>
      <c r="M29" s="402">
        <v>15</v>
      </c>
      <c r="N29" s="404">
        <v>5905</v>
      </c>
      <c r="O29" s="404">
        <v>6096</v>
      </c>
      <c r="P29" s="412">
        <f>O29/N29</f>
        <v>1.0323454699407282</v>
      </c>
      <c r="Q29" s="408" t="s">
        <v>611</v>
      </c>
      <c r="R29" s="266" t="s">
        <v>612</v>
      </c>
      <c r="S29" s="203" t="s">
        <v>613</v>
      </c>
      <c r="T29" s="203" t="s">
        <v>614</v>
      </c>
      <c r="U29" s="408"/>
      <c r="V29" s="408"/>
      <c r="W29" s="408"/>
      <c r="X29" s="435"/>
      <c r="Y29" s="408"/>
    </row>
    <row r="30" spans="2:25" x14ac:dyDescent="0.2">
      <c r="B30" s="429"/>
      <c r="C30" s="408" t="s">
        <v>615</v>
      </c>
      <c r="D30" s="408"/>
      <c r="E30" s="408"/>
      <c r="F30" s="408"/>
      <c r="G30" s="408"/>
      <c r="H30" s="408"/>
      <c r="I30" s="408"/>
      <c r="J30" s="408"/>
      <c r="K30" s="408"/>
      <c r="L30" s="408"/>
      <c r="M30" s="408"/>
      <c r="N30" s="408"/>
      <c r="O30" s="408"/>
      <c r="P30" s="408"/>
      <c r="Q30" s="408" t="s">
        <v>616</v>
      </c>
      <c r="R30" s="408" t="s">
        <v>617</v>
      </c>
      <c r="S30" s="408"/>
      <c r="T30" s="408"/>
      <c r="U30" s="408"/>
      <c r="V30" s="408"/>
      <c r="W30" s="408"/>
      <c r="X30" s="435"/>
      <c r="Y30" s="408"/>
    </row>
    <row r="31" spans="2:25" ht="30" x14ac:dyDescent="0.25">
      <c r="B31" s="429"/>
      <c r="C31" s="202" t="s">
        <v>618</v>
      </c>
      <c r="D31" s="203"/>
      <c r="E31" s="408"/>
      <c r="F31" s="408"/>
      <c r="G31" s="408"/>
      <c r="H31" s="408"/>
      <c r="I31" s="408"/>
      <c r="J31" s="408"/>
      <c r="K31" s="408"/>
      <c r="L31" s="408"/>
      <c r="M31" s="408"/>
      <c r="N31" s="408"/>
      <c r="O31" s="408"/>
      <c r="P31" s="430">
        <f>N27/Q31</f>
        <v>84.666666666666671</v>
      </c>
      <c r="Q31" s="408">
        <v>45</v>
      </c>
      <c r="R31" s="408"/>
      <c r="S31" s="408"/>
      <c r="T31" s="408" t="s">
        <v>619</v>
      </c>
      <c r="U31" s="408" t="s">
        <v>620</v>
      </c>
      <c r="V31" s="408" t="s">
        <v>621</v>
      </c>
      <c r="W31" s="408" t="s">
        <v>622</v>
      </c>
      <c r="X31" s="435"/>
      <c r="Y31" s="408"/>
    </row>
    <row r="32" spans="2:25" ht="15" x14ac:dyDescent="0.25">
      <c r="B32" s="429"/>
      <c r="C32" s="409"/>
      <c r="D32" s="408" t="str">
        <f>I26</f>
        <v>Hotel</v>
      </c>
      <c r="E32" s="408" t="str">
        <f>J26</f>
        <v>Hospital</v>
      </c>
      <c r="F32" s="408" t="str">
        <f>K26</f>
        <v>Catering</v>
      </c>
      <c r="G32" s="408" t="str">
        <f>L26</f>
        <v>Restaurant/Bar</v>
      </c>
      <c r="H32" s="408" t="str">
        <f>M26</f>
        <v>Average Runtime</v>
      </c>
      <c r="I32" s="408" t="s">
        <v>623</v>
      </c>
      <c r="J32" s="408" t="s">
        <v>624</v>
      </c>
      <c r="K32" s="408" t="s">
        <v>625</v>
      </c>
      <c r="L32" s="408" t="s">
        <v>626</v>
      </c>
      <c r="M32" s="408"/>
      <c r="N32" s="408"/>
      <c r="O32" s="408"/>
      <c r="P32" s="430">
        <f>N28/Q32</f>
        <v>462.84123262435105</v>
      </c>
      <c r="Q32" s="408">
        <f>14*3.412</f>
        <v>47.768000000000001</v>
      </c>
      <c r="R32" s="408">
        <v>14</v>
      </c>
      <c r="S32" s="203" t="s">
        <v>627</v>
      </c>
      <c r="T32" s="408">
        <v>3370</v>
      </c>
      <c r="U32" s="408">
        <v>0.19</v>
      </c>
      <c r="V32" s="413">
        <f>T32/(1-U32)</f>
        <v>4160.4938271604933</v>
      </c>
      <c r="W32" s="440">
        <f>R32/V32</f>
        <v>3.3649851632047484E-3</v>
      </c>
      <c r="X32" s="435" t="s">
        <v>628</v>
      </c>
      <c r="Y32" s="408"/>
    </row>
    <row r="33" spans="2:25" x14ac:dyDescent="0.2">
      <c r="B33" s="429"/>
      <c r="C33" s="409" t="s">
        <v>629</v>
      </c>
      <c r="D33" s="412">
        <f>($D$27/$E$27*I27+$D$28/$E$28*I28+$D$29/$E$29*I29)/(I27+I28+I29)</f>
        <v>0.61302488846120196</v>
      </c>
      <c r="E33" s="412">
        <f>($D$27/$E$27*J27+$D$28/$E$28*J28+$D$29/$E$29*J29)/(J27+J28+J29)</f>
        <v>0.63572843309859151</v>
      </c>
      <c r="F33" s="412">
        <f>($D$27/$E$27*K27+$D$28/$E$28*K28+$D$29/$E$29*K29)/(K27+K28+K29)</f>
        <v>0.63677062374245474</v>
      </c>
      <c r="G33" s="412">
        <f>($D$27/$E$27*L27+$D$28/$E$28*L28+$D$29/$E$29*L29)/(L27+L28+L29)</f>
        <v>0.60492861012227206</v>
      </c>
      <c r="H33" s="412">
        <f>($D$27/$E$27*M27+$D$28/$E$28*M28+$D$29/$E$29*M29)/(M27+M28+M29)</f>
        <v>0.60826181579271543</v>
      </c>
      <c r="I33" s="412">
        <f>SUMPRODUCT(M27:M29,P27:P29)/SUM(M27:M29)</f>
        <v>0.95343805467815279</v>
      </c>
      <c r="J33" s="412">
        <f>($D$27*M27+$D$28*M28+$D$29*M29)/(M27+M28+M29)</f>
        <v>0.44857142857142857</v>
      </c>
      <c r="K33" s="430">
        <f>SUMPRODUCT(P31:P33,M27:M29)/SUM(M27:M29)*W32</f>
        <v>0.758041078225412</v>
      </c>
      <c r="L33" s="408">
        <v>12</v>
      </c>
      <c r="M33" s="408"/>
      <c r="N33" s="408"/>
      <c r="O33" s="408"/>
      <c r="P33" s="430">
        <f>N29/Q33</f>
        <v>140.5952380952381</v>
      </c>
      <c r="Q33" s="408">
        <v>42</v>
      </c>
      <c r="R33" s="408"/>
      <c r="S33" s="408"/>
      <c r="T33" s="408"/>
      <c r="U33" s="408"/>
      <c r="V33" s="408"/>
      <c r="W33" s="408"/>
      <c r="X33" s="435"/>
      <c r="Y33" s="408"/>
    </row>
    <row r="34" spans="2:25" x14ac:dyDescent="0.2">
      <c r="B34" s="429"/>
      <c r="C34" s="409" t="s">
        <v>630</v>
      </c>
      <c r="D34" s="441">
        <f>'Typology Baseline - climate adj'!E19</f>
        <v>0</v>
      </c>
      <c r="E34" s="442">
        <f>'Typology Baseline - climate adj'!E16</f>
        <v>16.3</v>
      </c>
      <c r="F34" s="411"/>
      <c r="G34" s="442">
        <f>'Typology Baseline - climate adj'!E15</f>
        <v>120.5</v>
      </c>
      <c r="H34" s="408"/>
      <c r="I34" s="408"/>
      <c r="J34" s="408"/>
      <c r="K34" s="430">
        <f>K33*I33</f>
        <v>0.72274521098936628</v>
      </c>
      <c r="L34" s="408"/>
      <c r="M34" s="408"/>
      <c r="N34" s="408"/>
      <c r="O34" s="408"/>
      <c r="P34" s="408"/>
      <c r="Q34" s="408"/>
      <c r="R34" s="408"/>
      <c r="S34" s="408"/>
      <c r="T34" s="408"/>
      <c r="U34" s="408"/>
      <c r="V34" s="408"/>
      <c r="W34" s="408"/>
      <c r="X34" s="435"/>
      <c r="Y34" s="408"/>
    </row>
    <row r="35" spans="2:25" x14ac:dyDescent="0.2">
      <c r="B35" s="429"/>
      <c r="C35" s="409" t="s">
        <v>631</v>
      </c>
      <c r="D35" s="441">
        <f>D34*D33</f>
        <v>0</v>
      </c>
      <c r="E35" s="441">
        <f>E34*E33</f>
        <v>10.362373459507042</v>
      </c>
      <c r="F35" s="441">
        <f>F34*F33</f>
        <v>0</v>
      </c>
      <c r="G35" s="442">
        <f>G34*G33</f>
        <v>72.893897519733784</v>
      </c>
      <c r="H35" s="443">
        <f>H34*H33</f>
        <v>0</v>
      </c>
      <c r="I35" s="408"/>
      <c r="J35" s="408" t="s">
        <v>632</v>
      </c>
      <c r="K35" s="408"/>
      <c r="L35" s="408"/>
      <c r="M35" s="408"/>
      <c r="N35" s="408"/>
      <c r="O35" s="408"/>
      <c r="P35" s="408"/>
      <c r="Q35" s="408"/>
      <c r="R35" s="408"/>
      <c r="S35" s="408"/>
      <c r="T35" s="408"/>
      <c r="U35" s="408"/>
      <c r="V35" s="408"/>
      <c r="W35" s="408"/>
      <c r="X35" s="435"/>
      <c r="Y35" s="408"/>
    </row>
    <row r="36" spans="2:25" x14ac:dyDescent="0.2">
      <c r="B36" s="429"/>
      <c r="C36" s="409"/>
      <c r="D36" s="408"/>
      <c r="E36" s="408"/>
      <c r="F36" s="408"/>
      <c r="G36" s="408"/>
      <c r="H36" s="408"/>
      <c r="I36" s="408"/>
      <c r="J36" s="412">
        <f>($E$27*M27+$E$28*M28+$E$29*M29)/(M27+M28+M29)</f>
        <v>0.73632653061224485</v>
      </c>
      <c r="K36" s="408"/>
      <c r="L36" s="408"/>
      <c r="M36" s="408"/>
      <c r="N36" s="408"/>
      <c r="O36" s="408"/>
      <c r="P36" s="408"/>
      <c r="Q36" s="408"/>
      <c r="R36" s="408"/>
      <c r="S36" s="408"/>
      <c r="T36" s="408"/>
      <c r="U36" s="408"/>
      <c r="V36" s="408"/>
      <c r="W36" s="408"/>
      <c r="X36" s="435"/>
      <c r="Y36" s="408"/>
    </row>
    <row r="37" spans="2:25" x14ac:dyDescent="0.2">
      <c r="B37" s="429"/>
      <c r="C37" s="409" t="s">
        <v>633</v>
      </c>
      <c r="D37" s="408"/>
      <c r="E37" s="408"/>
      <c r="F37" s="408"/>
      <c r="G37" s="407">
        <f>'Prev Seattle Targets ref'!H46</f>
        <v>146.37971352012599</v>
      </c>
      <c r="H37" s="408"/>
      <c r="I37" s="408"/>
      <c r="J37" s="408"/>
      <c r="K37" s="408"/>
      <c r="L37" s="408"/>
      <c r="M37" s="408"/>
      <c r="N37" s="408"/>
      <c r="O37" s="408"/>
      <c r="P37" s="408"/>
      <c r="Q37" s="408"/>
      <c r="R37" s="408"/>
      <c r="S37" s="408"/>
      <c r="T37" s="408"/>
      <c r="U37" s="408"/>
      <c r="V37" s="408"/>
      <c r="W37" s="408"/>
      <c r="X37" s="435"/>
      <c r="Y37" s="408"/>
    </row>
    <row r="38" spans="2:25" x14ac:dyDescent="0.2">
      <c r="B38" s="429"/>
      <c r="C38" s="409" t="s">
        <v>634</v>
      </c>
      <c r="D38" s="408"/>
      <c r="E38" s="408"/>
      <c r="F38" s="408"/>
      <c r="G38" s="407">
        <f>G37*H33</f>
        <v>89.037190340969332</v>
      </c>
      <c r="H38" s="408"/>
      <c r="I38" s="408"/>
      <c r="J38" s="408"/>
      <c r="K38" s="408"/>
      <c r="L38" s="408"/>
      <c r="M38" s="408"/>
      <c r="N38" s="408"/>
      <c r="O38" s="408"/>
      <c r="P38" s="408"/>
      <c r="Q38" s="408"/>
      <c r="R38" s="408"/>
      <c r="S38" s="408"/>
      <c r="T38" s="408"/>
      <c r="U38" s="408"/>
      <c r="V38" s="408"/>
      <c r="W38" s="408"/>
      <c r="X38" s="435"/>
      <c r="Y38" s="408"/>
    </row>
    <row r="39" spans="2:25" x14ac:dyDescent="0.2">
      <c r="B39" s="429"/>
      <c r="C39" s="408"/>
      <c r="D39" s="408"/>
      <c r="E39" s="408"/>
      <c r="F39" s="408"/>
      <c r="G39" s="408"/>
      <c r="H39" s="408"/>
      <c r="I39" s="408"/>
      <c r="J39" s="408"/>
      <c r="K39" s="408"/>
      <c r="L39" s="408"/>
      <c r="M39" s="408"/>
      <c r="N39" s="408"/>
      <c r="O39" s="408"/>
      <c r="P39" s="408"/>
      <c r="Q39" s="408"/>
      <c r="R39" s="408"/>
      <c r="S39" s="408"/>
      <c r="T39" s="408"/>
      <c r="U39" s="408"/>
      <c r="V39" s="408"/>
      <c r="W39" s="408"/>
      <c r="X39" s="435"/>
      <c r="Y39" s="408"/>
    </row>
    <row r="40" spans="2:25" ht="13.5" thickBot="1" x14ac:dyDescent="0.25">
      <c r="B40" s="432"/>
      <c r="C40" s="200" t="s">
        <v>635</v>
      </c>
      <c r="D40" s="201">
        <f>J33/J36</f>
        <v>0.60920177383592022</v>
      </c>
      <c r="E40" s="200" t="s">
        <v>575</v>
      </c>
      <c r="F40" s="433"/>
      <c r="G40" s="433"/>
      <c r="H40" s="433"/>
      <c r="I40" s="433"/>
      <c r="J40" s="433"/>
      <c r="K40" s="433"/>
      <c r="L40" s="433"/>
      <c r="M40" s="433"/>
      <c r="N40" s="433"/>
      <c r="O40" s="433"/>
      <c r="P40" s="433"/>
      <c r="Q40" s="433"/>
      <c r="R40" s="433"/>
      <c r="S40" s="433"/>
      <c r="T40" s="433"/>
      <c r="U40" s="433"/>
      <c r="V40" s="433"/>
      <c r="W40" s="433"/>
      <c r="X40" s="436"/>
      <c r="Y40" s="408"/>
    </row>
    <row r="41" spans="2:25" ht="13.5" thickBot="1" x14ac:dyDescent="0.2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row>
    <row r="42" spans="2:25" ht="18" x14ac:dyDescent="0.25">
      <c r="B42" s="355" t="s">
        <v>636</v>
      </c>
      <c r="C42" s="427"/>
      <c r="D42" s="427" t="s">
        <v>637</v>
      </c>
      <c r="E42" s="427" t="s">
        <v>563</v>
      </c>
      <c r="F42" s="427" t="s">
        <v>565</v>
      </c>
      <c r="G42" s="427"/>
      <c r="H42" s="427"/>
      <c r="I42" s="427" t="s">
        <v>638</v>
      </c>
      <c r="J42" s="427"/>
      <c r="K42" s="427"/>
      <c r="L42" s="427"/>
      <c r="M42" s="427"/>
      <c r="N42" s="427"/>
      <c r="O42" s="428"/>
      <c r="P42" s="395"/>
      <c r="Q42" s="395"/>
      <c r="R42" s="395"/>
      <c r="S42" s="395"/>
      <c r="T42" s="395"/>
      <c r="U42" s="395"/>
      <c r="V42" s="395"/>
      <c r="W42" s="395"/>
      <c r="X42" s="395"/>
      <c r="Y42" s="395"/>
    </row>
    <row r="43" spans="2:25" ht="26.25" x14ac:dyDescent="0.25">
      <c r="B43" s="429"/>
      <c r="C43" s="409" t="s">
        <v>639</v>
      </c>
      <c r="D43" s="408">
        <v>3.48</v>
      </c>
      <c r="E43" s="404">
        <v>1499</v>
      </c>
      <c r="F43" s="226" t="s">
        <v>640</v>
      </c>
      <c r="G43" s="408"/>
      <c r="H43" s="408"/>
      <c r="I43" s="407">
        <f>I44*D44/D43</f>
        <v>686.62068965517244</v>
      </c>
      <c r="J43" s="16" t="s">
        <v>641</v>
      </c>
      <c r="K43" s="408"/>
      <c r="L43" s="408"/>
      <c r="M43" s="408"/>
      <c r="N43" s="408"/>
      <c r="O43" s="435"/>
      <c r="P43" s="395"/>
      <c r="Q43" s="395"/>
      <c r="R43" s="395"/>
      <c r="S43" s="395"/>
      <c r="T43" s="395"/>
      <c r="U43" s="395"/>
      <c r="V43" s="395"/>
      <c r="W43" s="395"/>
      <c r="X43" s="395"/>
      <c r="Y43" s="395"/>
    </row>
    <row r="44" spans="2:25" ht="26.25" x14ac:dyDescent="0.25">
      <c r="B44" s="429"/>
      <c r="C44" s="409" t="s">
        <v>642</v>
      </c>
      <c r="D44" s="408">
        <v>3.93</v>
      </c>
      <c r="E44" s="404">
        <v>1399</v>
      </c>
      <c r="F44" s="226" t="s">
        <v>640</v>
      </c>
      <c r="G44" s="408"/>
      <c r="H44" s="408"/>
      <c r="I44" s="407">
        <v>608</v>
      </c>
      <c r="J44" s="203" t="s">
        <v>643</v>
      </c>
      <c r="K44" s="408"/>
      <c r="L44" s="408"/>
      <c r="M44" s="408"/>
      <c r="N44" s="408"/>
      <c r="O44" s="435"/>
      <c r="P44" s="395"/>
      <c r="Q44" s="395"/>
      <c r="R44" s="395"/>
      <c r="S44" s="395"/>
      <c r="T44" s="395"/>
      <c r="U44" s="395"/>
      <c r="V44" s="395"/>
      <c r="W44" s="395"/>
      <c r="X44" s="395"/>
      <c r="Y44" s="395"/>
    </row>
    <row r="45" spans="2:25" x14ac:dyDescent="0.2">
      <c r="B45" s="429"/>
      <c r="C45" s="408"/>
      <c r="D45" s="408"/>
      <c r="E45" s="408"/>
      <c r="F45" s="408"/>
      <c r="G45" s="408"/>
      <c r="H45" s="408"/>
      <c r="I45" s="407">
        <f>I43*D43/D44</f>
        <v>608</v>
      </c>
      <c r="J45" s="408"/>
      <c r="K45" s="408"/>
      <c r="L45" s="408"/>
      <c r="M45" s="408"/>
      <c r="N45" s="408"/>
      <c r="O45" s="435"/>
      <c r="P45" s="395"/>
      <c r="Q45" s="395"/>
      <c r="R45" s="395"/>
      <c r="S45" s="395"/>
      <c r="T45" s="395"/>
      <c r="U45" s="395"/>
      <c r="V45" s="395"/>
      <c r="W45" s="395"/>
      <c r="X45" s="395"/>
      <c r="Y45" s="395"/>
    </row>
    <row r="46" spans="2:25" ht="13.5" thickBot="1" x14ac:dyDescent="0.25">
      <c r="B46" s="432"/>
      <c r="C46" s="200" t="s">
        <v>644</v>
      </c>
      <c r="D46" s="201">
        <f>D43/D44</f>
        <v>0.88549618320610679</v>
      </c>
      <c r="E46" s="200" t="s">
        <v>575</v>
      </c>
      <c r="F46" s="434">
        <f>E44/E43</f>
        <v>0.93328885923949301</v>
      </c>
      <c r="G46" s="433" t="s">
        <v>576</v>
      </c>
      <c r="H46" s="433"/>
      <c r="I46" s="433"/>
      <c r="J46" s="433"/>
      <c r="K46" s="433"/>
      <c r="L46" s="433"/>
      <c r="M46" s="433"/>
      <c r="N46" s="433"/>
      <c r="O46" s="436"/>
      <c r="P46" s="395"/>
      <c r="Q46" s="395"/>
      <c r="R46" s="395"/>
      <c r="S46" s="395"/>
      <c r="T46" s="395"/>
      <c r="U46" s="395"/>
      <c r="V46" s="395"/>
      <c r="W46" s="395"/>
      <c r="X46" s="395"/>
      <c r="Y46" s="395"/>
    </row>
    <row r="49" spans="10:15" x14ac:dyDescent="0.2">
      <c r="J49" s="408"/>
      <c r="K49" s="408"/>
      <c r="L49" s="408"/>
      <c r="M49" s="408"/>
      <c r="N49" s="408"/>
      <c r="O49" s="408"/>
    </row>
    <row r="50" spans="10:15" x14ac:dyDescent="0.2">
      <c r="J50" s="408"/>
      <c r="K50" s="408"/>
      <c r="L50" s="408"/>
      <c r="M50" s="408"/>
      <c r="N50" s="408"/>
      <c r="O50" s="408"/>
    </row>
    <row r="52" spans="10:15" ht="15" x14ac:dyDescent="0.25">
      <c r="J52" s="395"/>
      <c r="K52" s="16"/>
      <c r="L52" s="395"/>
      <c r="M52" s="395"/>
      <c r="N52" s="395"/>
      <c r="O52" s="395"/>
    </row>
  </sheetData>
  <sortState xmlns:xlrd2="http://schemas.microsoft.com/office/spreadsheetml/2017/richdata2" ref="B65:G75">
    <sortCondition ref="B65:B75"/>
  </sortState>
  <hyperlinks>
    <hyperlink ref="R28" r:id="rId1" display="commercial_fryers/key_product_criteria" xr:uid="{CFBE23AD-4A71-4644-8753-5413DB8852D2}"/>
    <hyperlink ref="R29" r:id="rId2" display="https://www.energystar.gov/products/commercial_food_service_equipment/commercial_griddles/key_products_criteria" xr:uid="{A41630ED-9973-4222-9A8A-76682628ECD4}"/>
    <hyperlink ref="C31" r:id="rId3" xr:uid="{780B4283-49D5-4CDC-9714-F3AAED991BF8}"/>
    <hyperlink ref="R27" r:id="rId4" display="commercial_ovens/key_product_criteria" xr:uid="{746BF091-6EF6-45BE-9F78-0602C3C63752}"/>
    <hyperlink ref="T27" r:id="rId5" xr:uid="{2EFCFD82-8C0B-4DF8-9629-369E05956612}"/>
    <hyperlink ref="S27" r:id="rId6" xr:uid="{FBCA973C-E046-4C18-96B2-9F00FA42E714}"/>
    <hyperlink ref="S28" r:id="rId7" xr:uid="{827082CF-9030-4514-8441-E531EFB59285}"/>
    <hyperlink ref="T28" r:id="rId8" xr:uid="{AB6BD7A7-85CE-4110-BD52-530533FF318C}"/>
    <hyperlink ref="T29" r:id="rId9" display="Accutemp from Katom" xr:uid="{0FD72928-78EF-4326-86C6-C75B77972CF3}"/>
    <hyperlink ref="S29" r:id="rId10" xr:uid="{B1ACF0B7-FE19-4F2E-9B1D-EC2A09589D6D}"/>
    <hyperlink ref="I19" r:id="rId11" xr:uid="{C1616944-0135-42E8-9E9C-C829638D6BDD}"/>
    <hyperlink ref="I20" r:id="rId12" xr:uid="{A2D3FCFC-48DF-4E27-BE0E-7E810160693F}"/>
    <hyperlink ref="F43" r:id="rId13" xr:uid="{2958599C-3224-499E-8DD5-936A9DCFBAD0}"/>
    <hyperlink ref="F44" r:id="rId14" xr:uid="{AEEFF6FA-94AE-4A03-8FCD-4E72E0288EEE}"/>
    <hyperlink ref="S32" r:id="rId15" location="calc " xr:uid="{81AAB00D-6682-4662-A9EC-B27B701A9C1F}"/>
    <hyperlink ref="L19" r:id="rId16" xr:uid="{63713E8C-2878-4A34-938D-A3CB05925699}"/>
    <hyperlink ref="J44" r:id="rId17" xr:uid="{D4ADF4D7-AF7D-4A78-BDD0-E085280F655A}"/>
    <hyperlink ref="J43" r:id="rId18" xr:uid="{A920A6F1-D829-4DBD-ADD4-FE9BF40C662E}"/>
    <hyperlink ref="I7" r:id="rId19" location="calc  " xr:uid="{0651BD69-C20D-46B0-9388-7DDB8DCECF36}"/>
  </hyperlinks>
  <pageMargins left="0.7" right="0.7" top="0.75" bottom="0.75" header="0.3" footer="0.3"/>
  <pageSetup orientation="portrait" r:id="rId20"/>
  <legacyDrawing r:id="rId2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AB93-7A87-45FB-B0AF-625F288153A0}">
  <dimension ref="A1:T92"/>
  <sheetViews>
    <sheetView topLeftCell="A8" workbookViewId="0">
      <selection activeCell="A45" sqref="A45"/>
    </sheetView>
  </sheetViews>
  <sheetFormatPr defaultRowHeight="12.75" x14ac:dyDescent="0.2"/>
  <cols>
    <col min="1" max="1" width="37.5703125" style="478" customWidth="1"/>
    <col min="2" max="17" width="9.140625" style="478"/>
    <col min="18" max="18" width="9.5703125" style="478" bestFit="1" customWidth="1"/>
    <col min="19" max="16384" width="9.140625" style="478"/>
  </cols>
  <sheetData>
    <row r="1" spans="1:20" ht="63.75" x14ac:dyDescent="0.2">
      <c r="A1" s="560" t="s">
        <v>1504</v>
      </c>
    </row>
    <row r="2" spans="1:20" x14ac:dyDescent="0.2">
      <c r="E2" s="584"/>
      <c r="J2" s="608"/>
      <c r="Q2" s="611" t="s">
        <v>1547</v>
      </c>
    </row>
    <row r="3" spans="1:20" x14ac:dyDescent="0.2">
      <c r="A3" s="478" t="str">
        <f>'CBECS E7 - gas EUI'!L59</f>
        <v>BA Climate Zone</v>
      </c>
      <c r="B3" s="478" t="str">
        <f>'CBECS E7 - gas EUI'!M59</f>
        <v>Heat Use Ratio</v>
      </c>
      <c r="C3" s="478" t="s">
        <v>645</v>
      </c>
      <c r="D3" s="478" t="s">
        <v>646</v>
      </c>
      <c r="E3" s="609" t="s">
        <v>1544</v>
      </c>
      <c r="F3" s="584"/>
      <c r="G3" s="584"/>
      <c r="J3" s="608"/>
      <c r="K3" s="609" t="s">
        <v>1546</v>
      </c>
      <c r="L3" s="478" t="s">
        <v>442</v>
      </c>
      <c r="M3" s="478" t="s">
        <v>440</v>
      </c>
      <c r="N3" s="478" t="s">
        <v>444</v>
      </c>
      <c r="O3" s="629" t="s">
        <v>1559</v>
      </c>
      <c r="Q3" s="478" t="s">
        <v>442</v>
      </c>
      <c r="R3" s="478" t="s">
        <v>440</v>
      </c>
      <c r="S3" s="478" t="s">
        <v>444</v>
      </c>
      <c r="T3" s="609" t="s">
        <v>1545</v>
      </c>
    </row>
    <row r="4" spans="1:20" x14ac:dyDescent="0.2">
      <c r="A4" s="478" t="str">
        <f>'CBECS E7 - gas EUI'!L60</f>
        <v>Very cold/Cold</v>
      </c>
      <c r="B4" s="479">
        <f>'CBECS E7 - gas EUI'!C60/'CBECS E7 - gas EUI'!C$5</f>
        <v>1.3210332103321032</v>
      </c>
      <c r="C4" s="479">
        <f>'CBECS-E4 - elec EUI'!D60/'CBECS-E4 - elec EUI'!$D$5</f>
        <v>0.57831325301204817</v>
      </c>
      <c r="D4" s="478" t="s">
        <v>409</v>
      </c>
      <c r="E4" s="479">
        <f>O6/AVERAGE($O$4:$O$7)</f>
        <v>1.6190382938953043</v>
      </c>
      <c r="F4" s="480"/>
      <c r="G4" s="480"/>
      <c r="J4" s="480"/>
      <c r="K4" s="608" t="s">
        <v>418</v>
      </c>
      <c r="L4" s="480">
        <f>'MF-New-Tall'!$N$22</f>
        <v>10</v>
      </c>
      <c r="M4" s="480">
        <f>'MF-Old-Tall'!$N$22</f>
        <v>15</v>
      </c>
      <c r="N4" s="480">
        <f>'MF-Short'!$N$22</f>
        <v>10</v>
      </c>
      <c r="O4" s="481">
        <f>AVERAGE(L4:N4)/B8</f>
        <v>13.511396011396013</v>
      </c>
      <c r="Q4" s="480">
        <f>'MF-New-Tall'!$N$24</f>
        <v>4.7089743589743591</v>
      </c>
      <c r="R4" s="480">
        <f>'MF-Old-Tall'!$N$24</f>
        <v>3</v>
      </c>
      <c r="S4" s="480">
        <f>'MF-Short'!$N$24</f>
        <v>3</v>
      </c>
      <c r="T4" s="481">
        <f>AVERAGE(Q4:S4)/E8</f>
        <v>5.1556087161318338</v>
      </c>
    </row>
    <row r="5" spans="1:20" x14ac:dyDescent="0.2">
      <c r="A5" s="478" t="str">
        <f>'CBECS E7 - gas EUI'!L61</f>
        <v>Mixed-humid</v>
      </c>
      <c r="B5" s="479">
        <f>'CBECS E7 - gas EUI'!C61/'CBECS E7 - gas EUI'!C$5</f>
        <v>0.84132841328413277</v>
      </c>
      <c r="C5" s="479">
        <f>'CBECS-E4 - elec EUI'!D61/'CBECS-E4 - elec EUI'!$D$5</f>
        <v>1.0481927710843373</v>
      </c>
      <c r="D5" s="478" t="s">
        <v>405</v>
      </c>
      <c r="E5" s="479">
        <f>O5/AVERAGE($O$4:$O$7)</f>
        <v>0.71060406111982932</v>
      </c>
      <c r="F5" s="480"/>
      <c r="G5" s="480"/>
      <c r="J5" s="480"/>
      <c r="K5" s="478" t="s">
        <v>405</v>
      </c>
      <c r="L5" s="480">
        <f>'MF-New-Tall'!$T$22</f>
        <v>10</v>
      </c>
      <c r="M5" s="480">
        <f>'MF-Old-Tall'!$T$22</f>
        <v>15</v>
      </c>
      <c r="N5" s="480">
        <f>'MF-Short'!$T$22</f>
        <v>10</v>
      </c>
      <c r="O5" s="481">
        <f>AVERAGE(L5:N5)/B5</f>
        <v>13.866959064327485</v>
      </c>
      <c r="Q5" s="480">
        <f>'MF-New-Tall'!$T$24</f>
        <v>10</v>
      </c>
      <c r="R5" s="480">
        <f>'MF-Old-Tall'!$T$24</f>
        <v>10</v>
      </c>
      <c r="S5" s="480">
        <f>'MF-Short'!$T$24</f>
        <v>10</v>
      </c>
      <c r="T5" s="481">
        <f>AVERAGE(Q5:S5)/E5</f>
        <v>14.072534266467832</v>
      </c>
    </row>
    <row r="6" spans="1:20" x14ac:dyDescent="0.2">
      <c r="A6" s="478" t="str">
        <f>'CBECS E7 - gas EUI'!L62</f>
        <v>Mixed-dry/Hot-dry</v>
      </c>
      <c r="B6" s="479">
        <f>'CBECS E7 - gas EUI'!C62/'CBECS E7 - gas EUI'!C$5</f>
        <v>0.52398523985239842</v>
      </c>
      <c r="C6" s="479">
        <f>'CBECS-E4 - elec EUI'!D62/'CBECS-E4 - elec EUI'!$D$5</f>
        <v>0.87951807228915657</v>
      </c>
      <c r="D6" s="478" t="s">
        <v>413</v>
      </c>
      <c r="E6" s="479">
        <f>O7/AVERAGE($O$4:$O$7)</f>
        <v>0.97797420081682762</v>
      </c>
      <c r="F6" s="480"/>
      <c r="G6" s="480"/>
      <c r="J6" s="480"/>
      <c r="K6" s="478" t="s">
        <v>409</v>
      </c>
      <c r="L6" s="480">
        <f>'MF-New-Tall'!$H$22</f>
        <v>40</v>
      </c>
      <c r="M6" s="480">
        <f>'MF-Old-Tall'!$H$22</f>
        <v>47.873015873015873</v>
      </c>
      <c r="N6" s="480">
        <f>'MF-Short'!$H$22</f>
        <v>37.338899708410892</v>
      </c>
      <c r="O6" s="481">
        <f>AVERAGE(L6:N6)/B4</f>
        <v>31.59444052380508</v>
      </c>
      <c r="Q6" s="480">
        <f>'MF-New-Tall'!$H$24</f>
        <v>4.7089743589743591</v>
      </c>
      <c r="R6" s="480">
        <f>'MF-Old-Tall'!$H$24</f>
        <v>3.4444444444444446</v>
      </c>
      <c r="S6" s="480">
        <f>'MF-Short'!$H$24</f>
        <v>4.26139726056876</v>
      </c>
      <c r="T6" s="481">
        <f>AVERAGE(Q6:S6)/E4</f>
        <v>2.556006264294568</v>
      </c>
    </row>
    <row r="7" spans="1:20" x14ac:dyDescent="0.2">
      <c r="A7" s="478" t="str">
        <f>'CBECS E7 - gas EUI'!L63</f>
        <v>Hot-humid</v>
      </c>
      <c r="B7" s="479">
        <f>'CBECS E7 - gas EUI'!C63/'CBECS E7 - gas EUI'!C$5</f>
        <v>0.53874538745387446</v>
      </c>
      <c r="C7" s="479">
        <f>'CBECS-E4 - elec EUI'!D63/'CBECS-E4 - elec EUI'!$D$5</f>
        <v>2.2048192771084336</v>
      </c>
      <c r="D7" s="478" t="s">
        <v>405</v>
      </c>
      <c r="E7" s="479">
        <f>O5/AVERAGE($O$4:$O$7)</f>
        <v>0.71060406111982932</v>
      </c>
      <c r="F7" s="480"/>
      <c r="G7" s="480"/>
      <c r="J7" s="481"/>
      <c r="K7" s="478" t="s">
        <v>413</v>
      </c>
      <c r="L7" s="480">
        <f>'MF-New-Tall'!$Z$22</f>
        <v>10</v>
      </c>
      <c r="M7" s="480">
        <f>'MF-Old-Tall'!$Z$22</f>
        <v>10</v>
      </c>
      <c r="N7" s="480">
        <f>'MF-Short'!$Z$22</f>
        <v>10</v>
      </c>
      <c r="O7" s="481">
        <f>AVERAGE(L7:N7)/B6</f>
        <v>19.084507042253524</v>
      </c>
      <c r="Q7" s="480">
        <f>'MF-New-Tall'!$Z$24</f>
        <v>4.7089743589743591</v>
      </c>
      <c r="R7" s="480">
        <f>'MF-Old-Tall'!$Z$24</f>
        <v>3</v>
      </c>
      <c r="S7" s="480">
        <f>'MF-Short'!$Z$24</f>
        <v>3</v>
      </c>
      <c r="T7" s="481">
        <f>AVERAGE(Q7:S7)/E6</f>
        <v>3.6500534642699729</v>
      </c>
    </row>
    <row r="8" spans="1:20" x14ac:dyDescent="0.2">
      <c r="A8" s="478" t="str">
        <f>'CBECS E7 - gas EUI'!L64</f>
        <v>Marine</v>
      </c>
      <c r="B8" s="479">
        <f>'CBECS E7 - gas EUI'!C64/'CBECS E7 - gas EUI'!C$5</f>
        <v>0.86346863468634671</v>
      </c>
      <c r="C8" s="479">
        <f>'CBECS-E4 - elec EUI'!D64/'CBECS-E4 - elec EUI'!$D$5</f>
        <v>0.38554216867469876</v>
      </c>
      <c r="D8" s="478" t="s">
        <v>418</v>
      </c>
      <c r="E8" s="479">
        <f>O4/AVERAGE($O$4:$O$7)</f>
        <v>0.69238344416803888</v>
      </c>
      <c r="F8" s="480"/>
      <c r="G8" s="480"/>
    </row>
    <row r="11" spans="1:20" x14ac:dyDescent="0.2">
      <c r="A11" s="478" t="s">
        <v>647</v>
      </c>
      <c r="C11" s="478" t="s">
        <v>648</v>
      </c>
      <c r="I11" s="478" t="s">
        <v>649</v>
      </c>
    </row>
    <row r="12" spans="1:20" x14ac:dyDescent="0.2">
      <c r="A12" s="478" t="s">
        <v>499</v>
      </c>
      <c r="B12" s="480" t="str">
        <f>'CBECS E7 - gas EUI'!B4</f>
        <v>Total</v>
      </c>
      <c r="C12" s="480" t="str">
        <f>'CBECS E7 - gas EUI'!C4</f>
        <v>Space
heating</v>
      </c>
      <c r="D12" s="480" t="str">
        <f>'CBECS E7 - gas EUI'!D4</f>
        <v>Water
heating</v>
      </c>
      <c r="E12" s="480" t="str">
        <f>'CBECS E7 - gas EUI'!E4</f>
        <v>Cooking</v>
      </c>
      <c r="F12" s="480" t="str">
        <f>'CBECS E7 - gas EUI'!F4</f>
        <v>Other</v>
      </c>
      <c r="I12" s="478" t="s">
        <v>650</v>
      </c>
      <c r="J12" s="478" t="s">
        <v>651</v>
      </c>
    </row>
    <row r="13" spans="1:20" x14ac:dyDescent="0.2">
      <c r="A13" s="478" t="s">
        <v>111</v>
      </c>
      <c r="B13" s="481">
        <f>IF('CBECS E7 - gas EUI'!B16="Q",0,'CBECS E7 - gas EUI'!B16)</f>
        <v>30.6</v>
      </c>
      <c r="C13" s="481">
        <f>IF('CBECS E7 - gas EUI'!C16="Q",0,'CBECS E7 - gas EUI'!C16)</f>
        <v>26.7</v>
      </c>
      <c r="D13" s="481">
        <f>IF('CBECS E7 - gas EUI'!D16="Q",0,'CBECS E7 - gas EUI'!D16)</f>
        <v>7</v>
      </c>
      <c r="E13" s="481">
        <f>IF('CBECS E7 - gas EUI'!E16="Q",0,'CBECS E7 - gas EUI'!E16)</f>
        <v>1.8</v>
      </c>
      <c r="F13" s="481">
        <f>IF('CBECS E7 - gas EUI'!F16="Q",0,'CBECS E7 - gas EUI'!F16)</f>
        <v>5.6</v>
      </c>
      <c r="H13" s="482"/>
      <c r="I13" s="481">
        <f>'CBECS-E4 - elec EUI'!B16-SUM('CBECS-E4 - elec EUI'!C16,'CBECS-E4 - elec EUI'!F16,'CBECS-E4 - elec EUI'!H16)</f>
        <v>34.4</v>
      </c>
      <c r="J13" s="480">
        <f>'CBECS-E4 - elec EUI'!D16</f>
        <v>8.4</v>
      </c>
      <c r="K13" s="482"/>
      <c r="L13" s="479"/>
    </row>
    <row r="14" spans="1:20" x14ac:dyDescent="0.2">
      <c r="A14" s="478" t="s">
        <v>652</v>
      </c>
      <c r="B14" s="481">
        <f>IF('CBECS E7 - gas EUI'!B17="Q",0,'CBECS E7 - gas EUI'!B17)</f>
        <v>62.8</v>
      </c>
      <c r="C14" s="481">
        <f>IF('CBECS E7 - gas EUI'!C17="Q",0,'CBECS E7 - gas EUI'!C17)</f>
        <v>43.3</v>
      </c>
      <c r="D14" s="481">
        <f>IF('CBECS E7 - gas EUI'!D17="Q",0,'CBECS E7 - gas EUI'!D17)</f>
        <v>4.4000000000000004</v>
      </c>
      <c r="E14" s="481">
        <f>IF('CBECS E7 - gas EUI'!E17="Q",0,'CBECS E7 - gas EUI'!E17)</f>
        <v>32.799999999999997</v>
      </c>
      <c r="F14" s="481">
        <f>IF('CBECS E7 - gas EUI'!F17="Q",0,'CBECS E7 - gas EUI'!F17)</f>
        <v>0</v>
      </c>
      <c r="H14" s="482"/>
      <c r="I14" s="481">
        <f>'CBECS-E4 - elec EUI'!B17-SUM('CBECS-E4 - elec EUI'!C17,'CBECS-E4 - elec EUI'!F17,'CBECS-E4 - elec EUI'!H17)</f>
        <v>149.19999999999999</v>
      </c>
      <c r="J14" s="480">
        <f>'CBECS-E4 - elec EUI'!D17</f>
        <v>5.3</v>
      </c>
      <c r="K14" s="482"/>
      <c r="L14" s="479"/>
    </row>
    <row r="15" spans="1:20" x14ac:dyDescent="0.2">
      <c r="A15" s="478" t="s">
        <v>653</v>
      </c>
      <c r="B15" s="481">
        <f>IF('CBECS E7 - gas EUI'!B18="Q",0,'CBECS E7 - gas EUI'!B18)</f>
        <v>163.19999999999999</v>
      </c>
      <c r="C15" s="481">
        <f>IF('CBECS E7 - gas EUI'!C18="Q",0,'CBECS E7 - gas EUI'!C18)</f>
        <v>34</v>
      </c>
      <c r="D15" s="481">
        <f>IF('CBECS E7 - gas EUI'!D18="Q",0,'CBECS E7 - gas EUI'!D18)</f>
        <v>39.200000000000003</v>
      </c>
      <c r="E15" s="481">
        <f>IF('CBECS E7 - gas EUI'!E18="Q",0,'CBECS E7 - gas EUI'!E18)</f>
        <v>120.5</v>
      </c>
      <c r="F15" s="481">
        <f>IF('CBECS E7 - gas EUI'!F18="Q",0,'CBECS E7 - gas EUI'!F18)</f>
        <v>0</v>
      </c>
      <c r="H15" s="482"/>
      <c r="I15" s="481">
        <f>'CBECS-E4 - elec EUI'!B18-SUM('CBECS-E4 - elec EUI'!C18,'CBECS-E4 - elec EUI'!F18,'CBECS-E4 - elec EUI'!H18)</f>
        <v>90.399999999999991</v>
      </c>
      <c r="J15" s="480">
        <f>'CBECS-E4 - elec EUI'!D18</f>
        <v>18</v>
      </c>
      <c r="K15" s="482"/>
      <c r="L15" s="479"/>
    </row>
    <row r="16" spans="1:20" x14ac:dyDescent="0.2">
      <c r="A16" s="478" t="s">
        <v>654</v>
      </c>
      <c r="B16" s="481">
        <f>IF('CBECS E7 - gas EUI'!B19="Q",0,'CBECS E7 - gas EUI'!B19)</f>
        <v>80.5</v>
      </c>
      <c r="C16" s="481">
        <f>IF('CBECS E7 - gas EUI'!C19="Q",0,'CBECS E7 - gas EUI'!C19)</f>
        <v>60.9</v>
      </c>
      <c r="D16" s="481">
        <f>IF('CBECS E7 - gas EUI'!D19="Q",0,'CBECS E7 - gas EUI'!D19)</f>
        <v>23.7</v>
      </c>
      <c r="E16" s="481">
        <f>IF('CBECS E7 - gas EUI'!E19="Q",0,'CBECS E7 - gas EUI'!E19)</f>
        <v>16.3</v>
      </c>
      <c r="F16" s="481">
        <f>IF('CBECS E7 - gas EUI'!F19="Q",0,'CBECS E7 - gas EUI'!F19)</f>
        <v>18.7</v>
      </c>
      <c r="H16" s="482"/>
      <c r="I16" s="481">
        <f>'CBECS-E4 - elec EUI'!B19-SUM('CBECS-E4 - elec EUI'!C19,'CBECS-E4 - elec EUI'!F19,'CBECS-E4 - elec EUI'!H19)</f>
        <v>81.100000000000009</v>
      </c>
      <c r="J16" s="480">
        <f>'CBECS-E4 - elec EUI'!D19</f>
        <v>17.5</v>
      </c>
      <c r="K16" s="482"/>
      <c r="L16" s="479"/>
    </row>
    <row r="17" spans="1:12" x14ac:dyDescent="0.2">
      <c r="A17" s="478" t="s">
        <v>483</v>
      </c>
      <c r="B17" s="481">
        <f>IF('CBECS E7 - gas EUI'!B20="Q",0,'CBECS E7 - gas EUI'!B20)</f>
        <v>103.6</v>
      </c>
      <c r="C17" s="481">
        <f>IF('CBECS E7 - gas EUI'!C20="Q",0,'CBECS E7 - gas EUI'!C20)</f>
        <v>74.2</v>
      </c>
      <c r="D17" s="481">
        <f>IF('CBECS E7 - gas EUI'!D20="Q",0,'CBECS E7 - gas EUI'!D20)</f>
        <v>34.299999999999997</v>
      </c>
      <c r="E17" s="481">
        <f>IF('CBECS E7 - gas EUI'!E20="Q",0,'CBECS E7 - gas EUI'!E20)</f>
        <v>16.600000000000001</v>
      </c>
      <c r="F17" s="481">
        <f>IF('CBECS E7 - gas EUI'!F20="Q",0,'CBECS E7 - gas EUI'!F20)</f>
        <v>25</v>
      </c>
      <c r="H17" s="482"/>
      <c r="I17" s="481">
        <f>'CBECS-E4 - elec EUI'!B20-SUM('CBECS-E4 - elec EUI'!C20,'CBECS-E4 - elec EUI'!F20,'CBECS-E4 - elec EUI'!H20)</f>
        <v>97.3</v>
      </c>
      <c r="J17" s="480">
        <f>'CBECS-E4 - elec EUI'!D20</f>
        <v>26.2</v>
      </c>
      <c r="K17" s="482"/>
      <c r="L17" s="479"/>
    </row>
    <row r="18" spans="1:12" x14ac:dyDescent="0.2">
      <c r="A18" s="478" t="s">
        <v>484</v>
      </c>
      <c r="B18" s="481">
        <f>IF('CBECS E7 - gas EUI'!B21="Q",0,'CBECS E7 - gas EUI'!B21)</f>
        <v>39</v>
      </c>
      <c r="C18" s="481">
        <f>IF('CBECS E7 - gas EUI'!C21="Q",0,'CBECS E7 - gas EUI'!C21)</f>
        <v>39.1</v>
      </c>
      <c r="D18" s="481">
        <f>IF('CBECS E7 - gas EUI'!D21="Q",0,'CBECS E7 - gas EUI'!D21)</f>
        <v>3.9</v>
      </c>
      <c r="E18" s="481">
        <f>IF('CBECS E7 - gas EUI'!E21="Q",0,'CBECS E7 - gas EUI'!E21)</f>
        <v>0</v>
      </c>
      <c r="F18" s="481">
        <f>IF('CBECS E7 - gas EUI'!F21="Q",0,'CBECS E7 - gas EUI'!F21)</f>
        <v>0</v>
      </c>
      <c r="H18" s="482"/>
      <c r="I18" s="481">
        <f>'CBECS-E4 - elec EUI'!B21-SUM('CBECS-E4 - elec EUI'!C21,'CBECS-E4 - elec EUI'!F21,'CBECS-E4 - elec EUI'!H21)</f>
        <v>59.3</v>
      </c>
      <c r="J18" s="480">
        <f>'CBECS-E4 - elec EUI'!D21</f>
        <v>6.4</v>
      </c>
      <c r="K18" s="482"/>
      <c r="L18" s="479"/>
    </row>
    <row r="19" spans="1:12" x14ac:dyDescent="0.2">
      <c r="A19" s="478" t="s">
        <v>416</v>
      </c>
      <c r="B19" s="481">
        <f>IF('CBECS E7 - gas EUI'!B22="Q",0,'CBECS E7 - gas EUI'!B22)</f>
        <v>44.9</v>
      </c>
      <c r="C19" s="481">
        <f>IF('CBECS E7 - gas EUI'!C22="Q",0,'CBECS E7 - gas EUI'!C22)</f>
        <v>14.5</v>
      </c>
      <c r="D19" s="481">
        <f>IF('CBECS E7 - gas EUI'!D22="Q",0,'CBECS E7 - gas EUI'!D22)</f>
        <v>26.5</v>
      </c>
      <c r="E19" s="481">
        <f>IF('CBECS E7 - gas EUI'!E22="Q",0,'CBECS E7 - gas EUI'!E22)</f>
        <v>0</v>
      </c>
      <c r="F19" s="481">
        <f>IF('CBECS E7 - gas EUI'!F22="Q",0,'CBECS E7 - gas EUI'!F22)</f>
        <v>6.6</v>
      </c>
      <c r="H19" s="482"/>
      <c r="I19" s="481">
        <f>'CBECS-E4 - elec EUI'!B22-SUM('CBECS-E4 - elec EUI'!C22,'CBECS-E4 - elec EUI'!F22,'CBECS-E4 - elec EUI'!H22)</f>
        <v>43.2</v>
      </c>
      <c r="J19" s="480">
        <f>'CBECS-E4 - elec EUI'!D22</f>
        <v>7.3</v>
      </c>
      <c r="K19" s="482"/>
      <c r="L19" s="479"/>
    </row>
    <row r="20" spans="1:12" x14ac:dyDescent="0.2">
      <c r="A20" s="478" t="s">
        <v>655</v>
      </c>
      <c r="B20" s="481">
        <f>IF('CBECS E7 - gas EUI'!B23="Q",0,'CBECS E7 - gas EUI'!B23)</f>
        <v>34.299999999999997</v>
      </c>
      <c r="C20" s="481">
        <f>IF('CBECS E7 - gas EUI'!C23="Q",0,'CBECS E7 - gas EUI'!C23)</f>
        <v>21.5</v>
      </c>
      <c r="D20" s="481">
        <f>IF('CBECS E7 - gas EUI'!D23="Q",0,'CBECS E7 - gas EUI'!D23)</f>
        <v>10.6</v>
      </c>
      <c r="E20" s="481">
        <f>IF('CBECS E7 - gas EUI'!E23="Q",0,'CBECS E7 - gas EUI'!E23)</f>
        <v>13.5</v>
      </c>
      <c r="F20" s="481">
        <f>IF('CBECS E7 - gas EUI'!F23="Q",0,'CBECS E7 - gas EUI'!F23)</f>
        <v>6</v>
      </c>
      <c r="H20" s="482"/>
      <c r="I20" s="481">
        <f>'CBECS-E4 - elec EUI'!B23-SUM('CBECS-E4 - elec EUI'!C23,'CBECS-E4 - elec EUI'!F23,'CBECS-E4 - elec EUI'!H23)</f>
        <v>58.5</v>
      </c>
      <c r="J20" s="480">
        <f>'CBECS-E4 - elec EUI'!D23</f>
        <v>8.1999999999999993</v>
      </c>
      <c r="K20" s="482"/>
      <c r="L20" s="479"/>
    </row>
    <row r="21" spans="1:12" x14ac:dyDescent="0.2">
      <c r="A21" s="478" t="s">
        <v>486</v>
      </c>
      <c r="B21" s="481">
        <f>IF('CBECS E7 - gas EUI'!B24="Q",0,'CBECS E7 - gas EUI'!B24)</f>
        <v>22</v>
      </c>
      <c r="C21" s="481">
        <f>IF('CBECS E7 - gas EUI'!C24="Q",0,'CBECS E7 - gas EUI'!C24)</f>
        <v>20.5</v>
      </c>
      <c r="D21" s="481">
        <f>IF('CBECS E7 - gas EUI'!D24="Q",0,'CBECS E7 - gas EUI'!D24)</f>
        <v>2.5</v>
      </c>
      <c r="E21" s="481">
        <f>IF('CBECS E7 - gas EUI'!E24="Q",0,'CBECS E7 - gas EUI'!E24)</f>
        <v>6</v>
      </c>
      <c r="F21" s="481">
        <f>IF('CBECS E7 - gas EUI'!F24="Q",0,'CBECS E7 - gas EUI'!F24)</f>
        <v>0</v>
      </c>
      <c r="H21" s="482"/>
      <c r="I21" s="481">
        <f>'CBECS-E4 - elec EUI'!B24-SUM('CBECS-E4 - elec EUI'!C24,'CBECS-E4 - elec EUI'!F24,'CBECS-E4 - elec EUI'!H24)</f>
        <v>48.4</v>
      </c>
      <c r="J21" s="480">
        <f>'CBECS-E4 - elec EUI'!D24</f>
        <v>7.6</v>
      </c>
      <c r="K21" s="482"/>
      <c r="L21" s="479"/>
    </row>
    <row r="22" spans="1:12" x14ac:dyDescent="0.2">
      <c r="A22" s="478" t="s">
        <v>485</v>
      </c>
      <c r="B22" s="481">
        <f>IF('CBECS E7 - gas EUI'!B25="Q",0,'CBECS E7 - gas EUI'!B25)</f>
        <v>42.4</v>
      </c>
      <c r="C22" s="481">
        <f>IF('CBECS E7 - gas EUI'!C25="Q",0,'CBECS E7 - gas EUI'!C25)</f>
        <v>22.1</v>
      </c>
      <c r="D22" s="481">
        <f>IF('CBECS E7 - gas EUI'!D25="Q",0,'CBECS E7 - gas EUI'!D25)</f>
        <v>14.1</v>
      </c>
      <c r="E22" s="481">
        <f>IF('CBECS E7 - gas EUI'!E25="Q",0,'CBECS E7 - gas EUI'!E25)</f>
        <v>15.4</v>
      </c>
      <c r="F22" s="481">
        <f>IF('CBECS E7 - gas EUI'!F25="Q",0,'CBECS E7 - gas EUI'!F25)</f>
        <v>6.9</v>
      </c>
      <c r="H22" s="482"/>
      <c r="I22" s="481">
        <f>'CBECS-E4 - elec EUI'!B25-SUM('CBECS-E4 - elec EUI'!C25,'CBECS-E4 - elec EUI'!F25,'CBECS-E4 - elec EUI'!H25)</f>
        <v>67.900000000000006</v>
      </c>
      <c r="J22" s="480">
        <f>'CBECS-E4 - elec EUI'!D25</f>
        <v>8.8000000000000007</v>
      </c>
      <c r="K22" s="482"/>
      <c r="L22" s="479"/>
    </row>
    <row r="23" spans="1:12" x14ac:dyDescent="0.2">
      <c r="A23" s="478" t="s">
        <v>425</v>
      </c>
      <c r="B23" s="481">
        <f>IF('CBECS E7 - gas EUI'!B26="Q",0,'CBECS E7 - gas EUI'!B26)</f>
        <v>27.4</v>
      </c>
      <c r="C23" s="481">
        <f>IF('CBECS E7 - gas EUI'!C26="Q",0,'CBECS E7 - gas EUI'!C26)</f>
        <v>25.7</v>
      </c>
      <c r="D23" s="481">
        <f>IF('CBECS E7 - gas EUI'!D26="Q",0,'CBECS E7 - gas EUI'!D26)</f>
        <v>4.8</v>
      </c>
      <c r="E23" s="481">
        <f>IF('CBECS E7 - gas EUI'!E26="Q",0,'CBECS E7 - gas EUI'!E26)</f>
        <v>0</v>
      </c>
      <c r="F23" s="481">
        <f>IF('CBECS E7 - gas EUI'!F26="Q",0,'CBECS E7 - gas EUI'!F26)</f>
        <v>9.4</v>
      </c>
      <c r="H23" s="482"/>
      <c r="I23" s="481">
        <f>'CBECS-E4 - elec EUI'!B26-SUM('CBECS-E4 - elec EUI'!C26,'CBECS-E4 - elec EUI'!F26,'CBECS-E4 - elec EUI'!H26)</f>
        <v>51.400000000000006</v>
      </c>
      <c r="J23" s="480">
        <f>'CBECS-E4 - elec EUI'!D26</f>
        <v>7.6</v>
      </c>
      <c r="K23" s="482"/>
      <c r="L23" s="479"/>
    </row>
    <row r="24" spans="1:12" x14ac:dyDescent="0.2">
      <c r="A24" s="478" t="s">
        <v>656</v>
      </c>
      <c r="B24" s="481">
        <f>IF('CBECS E7 - gas EUI'!B27="Q",0,'CBECS E7 - gas EUI'!B27)</f>
        <v>34.799999999999997</v>
      </c>
      <c r="C24" s="481">
        <f>IF('CBECS E7 - gas EUI'!C27="Q",0,'CBECS E7 - gas EUI'!C27)</f>
        <v>35.299999999999997</v>
      </c>
      <c r="D24" s="481">
        <f>IF('CBECS E7 - gas EUI'!D27="Q",0,'CBECS E7 - gas EUI'!D27)</f>
        <v>2.1</v>
      </c>
      <c r="E24" s="481">
        <f>IF('CBECS E7 - gas EUI'!E27="Q",0,'CBECS E7 - gas EUI'!E27)</f>
        <v>6.4</v>
      </c>
      <c r="F24" s="481">
        <f>IF('CBECS E7 - gas EUI'!F27="Q",0,'CBECS E7 - gas EUI'!F27)</f>
        <v>4.7</v>
      </c>
      <c r="H24" s="482"/>
      <c r="I24" s="481">
        <f>'CBECS-E4 - elec EUI'!B27-SUM('CBECS-E4 - elec EUI'!C27,'CBECS-E4 - elec EUI'!F27,'CBECS-E4 - elec EUI'!H27)</f>
        <v>44.199999999999996</v>
      </c>
      <c r="J24" s="480">
        <f>'CBECS-E4 - elec EUI'!D27</f>
        <v>17.7</v>
      </c>
      <c r="K24" s="482"/>
      <c r="L24" s="479"/>
    </row>
    <row r="25" spans="1:12" x14ac:dyDescent="0.2">
      <c r="A25" s="478" t="s">
        <v>488</v>
      </c>
      <c r="B25" s="481">
        <f>IF('CBECS E7 - gas EUI'!B28="Q",0,'CBECS E7 - gas EUI'!B28)</f>
        <v>40.4</v>
      </c>
      <c r="C25" s="481">
        <f>IF('CBECS E7 - gas EUI'!C28="Q",0,'CBECS E7 - gas EUI'!C28)</f>
        <v>25.8</v>
      </c>
      <c r="D25" s="481">
        <f>IF('CBECS E7 - gas EUI'!D28="Q",0,'CBECS E7 - gas EUI'!D28)</f>
        <v>21.4</v>
      </c>
      <c r="E25" s="481">
        <f>IF('CBECS E7 - gas EUI'!E28="Q",0,'CBECS E7 - gas EUI'!E28)</f>
        <v>3.5</v>
      </c>
      <c r="F25" s="481">
        <f>IF('CBECS E7 - gas EUI'!F28="Q",0,'CBECS E7 - gas EUI'!F28)</f>
        <v>0</v>
      </c>
      <c r="H25" s="482"/>
      <c r="I25" s="481">
        <f>'CBECS-E4 - elec EUI'!B28-SUM('CBECS-E4 - elec EUI'!C28,'CBECS-E4 - elec EUI'!F28,'CBECS-E4 - elec EUI'!H28)</f>
        <v>44.800000000000004</v>
      </c>
      <c r="J25" s="480">
        <f>'CBECS-E4 - elec EUI'!D28</f>
        <v>11.2</v>
      </c>
      <c r="K25" s="482"/>
      <c r="L25" s="479"/>
    </row>
    <row r="26" spans="1:12" x14ac:dyDescent="0.2">
      <c r="A26" s="478" t="s">
        <v>657</v>
      </c>
      <c r="B26" s="481">
        <f>IF('CBECS E7 - gas EUI'!B29="Q",0,'CBECS E7 - gas EUI'!B29)</f>
        <v>28.8</v>
      </c>
      <c r="C26" s="481">
        <f>IF('CBECS E7 - gas EUI'!C29="Q",0,'CBECS E7 - gas EUI'!C29)</f>
        <v>25</v>
      </c>
      <c r="D26" s="481">
        <f>IF('CBECS E7 - gas EUI'!D29="Q",0,'CBECS E7 - gas EUI'!D29)</f>
        <v>0</v>
      </c>
      <c r="E26" s="481">
        <f>IF('CBECS E7 - gas EUI'!E29="Q",0,'CBECS E7 - gas EUI'!E29)</f>
        <v>5.6</v>
      </c>
      <c r="F26" s="481">
        <f>IF('CBECS E7 - gas EUI'!F29="Q",0,'CBECS E7 - gas EUI'!F29)</f>
        <v>0</v>
      </c>
      <c r="H26" s="482"/>
      <c r="I26" s="481">
        <f>'CBECS-E4 - elec EUI'!B29-SUM('CBECS-E4 - elec EUI'!C29,'CBECS-E4 - elec EUI'!F29,'CBECS-E4 - elec EUI'!H29)</f>
        <v>15.9</v>
      </c>
      <c r="J26" s="480">
        <f>'CBECS-E4 - elec EUI'!D29</f>
        <v>3.6</v>
      </c>
      <c r="K26" s="482"/>
      <c r="L26" s="479"/>
    </row>
    <row r="27" spans="1:12" x14ac:dyDescent="0.2">
      <c r="A27" s="478" t="s">
        <v>433</v>
      </c>
      <c r="B27" s="481">
        <f>IF('CBECS E7 - gas EUI'!B30="Q",0,'CBECS E7 - gas EUI'!B30)</f>
        <v>43.7</v>
      </c>
      <c r="C27" s="481">
        <f>IF('CBECS E7 - gas EUI'!C30="Q",0,'CBECS E7 - gas EUI'!C30)</f>
        <v>35.5</v>
      </c>
      <c r="D27" s="481">
        <f>IF('CBECS E7 - gas EUI'!D30="Q",0,'CBECS E7 - gas EUI'!D30)</f>
        <v>15</v>
      </c>
      <c r="E27" s="481">
        <f>IF('CBECS E7 - gas EUI'!E30="Q",0,'CBECS E7 - gas EUI'!E30)</f>
        <v>0</v>
      </c>
      <c r="F27" s="481">
        <f>IF('CBECS E7 - gas EUI'!F30="Q",0,'CBECS E7 - gas EUI'!F30)</f>
        <v>0</v>
      </c>
      <c r="H27" s="482"/>
      <c r="I27" s="481">
        <f>'CBECS-E4 - elec EUI'!B30-SUM('CBECS-E4 - elec EUI'!C30,'CBECS-E4 - elec EUI'!F30,'CBECS-E4 - elec EUI'!H30)</f>
        <v>25.7</v>
      </c>
      <c r="J27" s="480">
        <f>'CBECS-E4 - elec EUI'!D30</f>
        <v>4.3</v>
      </c>
      <c r="K27" s="482"/>
      <c r="L27" s="479"/>
    </row>
    <row r="28" spans="1:12" x14ac:dyDescent="0.2">
      <c r="A28" s="478" t="s">
        <v>489</v>
      </c>
      <c r="B28" s="481">
        <f>IF('CBECS E7 - gas EUI'!B31="Q",0,'CBECS E7 - gas EUI'!B31)</f>
        <v>19.899999999999999</v>
      </c>
      <c r="C28" s="481">
        <f>IF('CBECS E7 - gas EUI'!C31="Q",0,'CBECS E7 - gas EUI'!C31)</f>
        <v>16.7</v>
      </c>
      <c r="D28" s="481">
        <f>IF('CBECS E7 - gas EUI'!D31="Q",0,'CBECS E7 - gas EUI'!D31)</f>
        <v>2.9</v>
      </c>
      <c r="E28" s="481">
        <f>IF('CBECS E7 - gas EUI'!E31="Q",0,'CBECS E7 - gas EUI'!E31)</f>
        <v>0</v>
      </c>
      <c r="F28" s="481">
        <f>IF('CBECS E7 - gas EUI'!F31="Q",0,'CBECS E7 - gas EUI'!F31)</f>
        <v>7</v>
      </c>
      <c r="H28" s="482"/>
      <c r="I28" s="481">
        <f>'CBECS-E4 - elec EUI'!B31-SUM('CBECS-E4 - elec EUI'!C31,'CBECS-E4 - elec EUI'!F31,'CBECS-E4 - elec EUI'!H31)</f>
        <v>21.700000000000003</v>
      </c>
      <c r="J28" s="480">
        <f>'CBECS-E4 - elec EUI'!D31</f>
        <v>3.4</v>
      </c>
      <c r="K28" s="482"/>
      <c r="L28" s="479"/>
    </row>
    <row r="29" spans="1:12" x14ac:dyDescent="0.2">
      <c r="A29" s="478" t="s">
        <v>173</v>
      </c>
      <c r="B29" s="481">
        <f>IF('CBECS E7 - gas EUI'!B32="Q",0,'CBECS E7 - gas EUI'!B32)</f>
        <v>58.6</v>
      </c>
      <c r="C29" s="481">
        <f>IF('CBECS E7 - gas EUI'!C32="Q",0,'CBECS E7 - gas EUI'!C32)</f>
        <v>44.8</v>
      </c>
      <c r="D29" s="481">
        <f>IF('CBECS E7 - gas EUI'!D32="Q",0,'CBECS E7 - gas EUI'!D32)</f>
        <v>2.2999999999999998</v>
      </c>
      <c r="E29" s="481">
        <f>IF('CBECS E7 - gas EUI'!E32="Q",0,'CBECS E7 - gas EUI'!E32)</f>
        <v>0</v>
      </c>
      <c r="F29" s="481">
        <f>IF('CBECS E7 - gas EUI'!F32="Q",0,'CBECS E7 - gas EUI'!F32)</f>
        <v>0</v>
      </c>
      <c r="H29" s="482"/>
      <c r="I29" s="481">
        <f>'CBECS-E4 - elec EUI'!B32-SUM('CBECS-E4 - elec EUI'!C32,'CBECS-E4 - elec EUI'!F32,'CBECS-E4 - elec EUI'!H32)</f>
        <v>94.100000000000009</v>
      </c>
      <c r="J29" s="480">
        <f>'CBECS-E4 - elec EUI'!D32</f>
        <v>14.3</v>
      </c>
      <c r="K29" s="482"/>
      <c r="L29" s="479"/>
    </row>
    <row r="30" spans="1:12" x14ac:dyDescent="0.2">
      <c r="A30" s="478" t="s">
        <v>438</v>
      </c>
      <c r="B30" s="481">
        <f>IF('CBECS E7 - gas EUI'!B33="Q",0,'CBECS E7 - gas EUI'!B33)</f>
        <v>14.3</v>
      </c>
      <c r="C30" s="481">
        <f>IF('CBECS E7 - gas EUI'!C33="Q",0,'CBECS E7 - gas EUI'!C33)</f>
        <v>15</v>
      </c>
      <c r="D30" s="481">
        <f>IF('CBECS E7 - gas EUI'!D33="Q",0,'CBECS E7 - gas EUI'!D33)</f>
        <v>1.4</v>
      </c>
      <c r="E30" s="481">
        <f>IF('CBECS E7 - gas EUI'!E33="Q",0,'CBECS E7 - gas EUI'!E33)</f>
        <v>0</v>
      </c>
      <c r="F30" s="481">
        <f>IF('CBECS E7 - gas EUI'!F33="Q",0,'CBECS E7 - gas EUI'!F33)</f>
        <v>0</v>
      </c>
      <c r="H30" s="482"/>
      <c r="I30" s="481">
        <f>'CBECS-E4 - elec EUI'!B33-SUM('CBECS-E4 - elec EUI'!C33,'CBECS-E4 - elec EUI'!F33,'CBECS-E4 - elec EUI'!H33)</f>
        <v>14.7</v>
      </c>
      <c r="J30" s="480">
        <f>'CBECS-E4 - elec EUI'!D33</f>
        <v>2.2000000000000002</v>
      </c>
      <c r="K30" s="482"/>
      <c r="L30" s="479"/>
    </row>
    <row r="33" spans="1:17" x14ac:dyDescent="0.2">
      <c r="A33" s="607" t="s">
        <v>1542</v>
      </c>
    </row>
    <row r="34" spans="1:17" x14ac:dyDescent="0.2">
      <c r="B34" s="607" t="s">
        <v>1543</v>
      </c>
      <c r="G34" s="478" t="s">
        <v>658</v>
      </c>
    </row>
    <row r="35" spans="1:17" x14ac:dyDescent="0.2">
      <c r="A35" s="478" t="s">
        <v>499</v>
      </c>
      <c r="B35" s="481" t="str">
        <f>B12</f>
        <v>Total</v>
      </c>
      <c r="C35" s="481" t="str">
        <f t="shared" ref="C35:F35" si="0">C12</f>
        <v>Space
heating</v>
      </c>
      <c r="D35" s="481" t="str">
        <f t="shared" si="0"/>
        <v>Water
heating</v>
      </c>
      <c r="E35" s="481" t="str">
        <f t="shared" si="0"/>
        <v>Cooking</v>
      </c>
      <c r="F35" s="481" t="str">
        <f t="shared" si="0"/>
        <v>Other</v>
      </c>
      <c r="G35" s="478" t="s">
        <v>650</v>
      </c>
      <c r="H35" s="478" t="s">
        <v>275</v>
      </c>
      <c r="I35" s="478" t="s">
        <v>659</v>
      </c>
      <c r="L35" s="478" t="s">
        <v>660</v>
      </c>
      <c r="M35" s="478" t="s">
        <v>661</v>
      </c>
    </row>
    <row r="36" spans="1:17" x14ac:dyDescent="0.2">
      <c r="A36" s="478" t="s">
        <v>442</v>
      </c>
      <c r="B36" s="481">
        <f>C36+D36+E36</f>
        <v>37.652643118304709</v>
      </c>
      <c r="C36" s="481">
        <f>AVERAGE(L4:L7)</f>
        <v>17.5</v>
      </c>
      <c r="D36" s="481">
        <f>'RECS Microdata End Uses'!E$20</f>
        <v>17.767052094085397</v>
      </c>
      <c r="E36" s="481">
        <f>'RECS Microdata End Uses'!E$8</f>
        <v>2.3855910242193104</v>
      </c>
      <c r="F36" s="481">
        <v>0</v>
      </c>
      <c r="G36" s="478">
        <v>17</v>
      </c>
      <c r="H36" s="481">
        <f>AVERAGE(Q4:Q7)</f>
        <v>6.0317307692307693</v>
      </c>
      <c r="I36" s="481">
        <f>G36-H36</f>
        <v>10.968269230769231</v>
      </c>
      <c r="L36" s="482">
        <f>C36/SUM(C36:F36)</f>
        <v>0.46477480863733661</v>
      </c>
      <c r="M36" s="482">
        <f>H36/(G36)</f>
        <v>0.35480769230769232</v>
      </c>
      <c r="Q36" s="478">
        <f>C36*B4*E4</f>
        <v>37.429058713114692</v>
      </c>
    </row>
    <row r="37" spans="1:17" x14ac:dyDescent="0.2">
      <c r="A37" s="478" t="s">
        <v>440</v>
      </c>
      <c r="B37" s="481">
        <f>C37+D37+E37</f>
        <v>42.120897086558671</v>
      </c>
      <c r="C37" s="481">
        <f>AVERAGE(M4:M7)</f>
        <v>21.968253968253968</v>
      </c>
      <c r="D37" s="481">
        <f>'RECS Microdata End Uses'!E$20</f>
        <v>17.767052094085397</v>
      </c>
      <c r="E37" s="481">
        <f>'RECS Microdata End Uses'!E$8</f>
        <v>2.3855910242193104</v>
      </c>
      <c r="F37" s="481">
        <v>0</v>
      </c>
      <c r="G37" s="478">
        <v>15</v>
      </c>
      <c r="H37" s="481">
        <f>AVERAGE(R4:R7)</f>
        <v>4.8611111111111107</v>
      </c>
      <c r="I37" s="481">
        <f>G37-H37</f>
        <v>10.138888888888889</v>
      </c>
      <c r="L37" s="482">
        <f>C37/SUM(C37:F37)</f>
        <v>0.52155237632069151</v>
      </c>
      <c r="M37" s="482">
        <f>H37/(G37)</f>
        <v>0.32407407407407407</v>
      </c>
    </row>
    <row r="38" spans="1:17" x14ac:dyDescent="0.2">
      <c r="A38" s="478" t="s">
        <v>444</v>
      </c>
      <c r="B38" s="481">
        <f>C38+D38+E38</f>
        <v>34.322310231294622</v>
      </c>
      <c r="C38" s="481">
        <f>AVERAGE(N4:N7)</f>
        <v>16.834724927102723</v>
      </c>
      <c r="D38" s="481">
        <f>D36*0.85</f>
        <v>15.101994279972587</v>
      </c>
      <c r="E38" s="481">
        <f>'RECS Microdata End Uses'!E$8</f>
        <v>2.3855910242193104</v>
      </c>
      <c r="F38" s="481">
        <v>0</v>
      </c>
      <c r="G38" s="478">
        <v>17</v>
      </c>
      <c r="H38" s="481">
        <f>AVERAGE(S4:S7)</f>
        <v>5.06534931514219</v>
      </c>
      <c r="I38" s="481">
        <f>G38-H38</f>
        <v>11.934650684857811</v>
      </c>
      <c r="L38" s="482">
        <f>C38/SUM(C38:F38)</f>
        <v>0.49048927107922491</v>
      </c>
      <c r="M38" s="482">
        <f>H38/(G38)</f>
        <v>0.2979617244201288</v>
      </c>
    </row>
    <row r="39" spans="1:17" x14ac:dyDescent="0.2">
      <c r="A39" s="478" t="s">
        <v>111</v>
      </c>
      <c r="B39" s="479">
        <f>B13</f>
        <v>30.6</v>
      </c>
      <c r="C39" s="479">
        <f>C13</f>
        <v>26.7</v>
      </c>
      <c r="D39" s="481">
        <f>D13</f>
        <v>7</v>
      </c>
      <c r="E39" s="481">
        <f>E13</f>
        <v>1.8</v>
      </c>
      <c r="F39" s="481">
        <f>F13</f>
        <v>5.6</v>
      </c>
      <c r="G39" s="481">
        <f t="shared" ref="G39:H41" si="1">I13</f>
        <v>34.4</v>
      </c>
      <c r="H39" s="481">
        <f t="shared" si="1"/>
        <v>8.4</v>
      </c>
      <c r="I39" s="481">
        <f>G39-H39</f>
        <v>26</v>
      </c>
      <c r="K39" s="480"/>
      <c r="L39" s="482">
        <f>C39/SUM(C39:F39)</f>
        <v>0.64963503649635035</v>
      </c>
      <c r="M39" s="482">
        <f>H39/(G39)</f>
        <v>0.24418604651162792</v>
      </c>
    </row>
    <row r="40" spans="1:17" x14ac:dyDescent="0.2">
      <c r="A40" s="478" t="s">
        <v>652</v>
      </c>
      <c r="B40" s="481">
        <f>B14</f>
        <v>62.8</v>
      </c>
      <c r="C40" s="481">
        <f t="shared" ref="C40:F40" si="2">C14</f>
        <v>43.3</v>
      </c>
      <c r="D40" s="481">
        <f t="shared" si="2"/>
        <v>4.4000000000000004</v>
      </c>
      <c r="E40" s="481">
        <f t="shared" si="2"/>
        <v>32.799999999999997</v>
      </c>
      <c r="F40" s="481">
        <f t="shared" si="2"/>
        <v>0</v>
      </c>
      <c r="G40" s="481">
        <f t="shared" si="1"/>
        <v>149.19999999999999</v>
      </c>
      <c r="H40" s="481">
        <f t="shared" si="1"/>
        <v>5.3</v>
      </c>
      <c r="I40" s="481">
        <f t="shared" ref="I40:I43" si="3">G40-H40</f>
        <v>143.89999999999998</v>
      </c>
      <c r="K40" s="480"/>
      <c r="L40" s="482">
        <f t="shared" ref="L40:L43" si="4">C40/SUM(C40:F40)</f>
        <v>0.53788819875776395</v>
      </c>
      <c r="M40" s="482">
        <f t="shared" ref="M40:M43" si="5">H40/(G40)</f>
        <v>3.5522788203753354E-2</v>
      </c>
    </row>
    <row r="41" spans="1:17" x14ac:dyDescent="0.2">
      <c r="A41" s="478" t="s">
        <v>653</v>
      </c>
      <c r="B41" s="481">
        <f>B15</f>
        <v>163.19999999999999</v>
      </c>
      <c r="C41" s="481">
        <f t="shared" ref="C41:F41" si="6">C15</f>
        <v>34</v>
      </c>
      <c r="D41" s="481">
        <f t="shared" si="6"/>
        <v>39.200000000000003</v>
      </c>
      <c r="E41" s="481">
        <f t="shared" si="6"/>
        <v>120.5</v>
      </c>
      <c r="F41" s="481">
        <f t="shared" si="6"/>
        <v>0</v>
      </c>
      <c r="G41" s="481">
        <f t="shared" si="1"/>
        <v>90.399999999999991</v>
      </c>
      <c r="H41" s="481">
        <f t="shared" si="1"/>
        <v>18</v>
      </c>
      <c r="I41" s="481">
        <f t="shared" si="3"/>
        <v>72.399999999999991</v>
      </c>
      <c r="K41" s="480"/>
      <c r="L41" s="482">
        <f t="shared" si="4"/>
        <v>0.17552916881775943</v>
      </c>
      <c r="M41" s="482">
        <f t="shared" si="5"/>
        <v>0.19911504424778764</v>
      </c>
    </row>
    <row r="42" spans="1:17" x14ac:dyDescent="0.2">
      <c r="A42" s="478" t="s">
        <v>483</v>
      </c>
      <c r="B42" s="481">
        <f>B17</f>
        <v>103.6</v>
      </c>
      <c r="C42" s="481">
        <f t="shared" ref="C42:F42" si="7">C17</f>
        <v>74.2</v>
      </c>
      <c r="D42" s="481">
        <f t="shared" si="7"/>
        <v>34.299999999999997</v>
      </c>
      <c r="E42" s="481">
        <f t="shared" si="7"/>
        <v>16.600000000000001</v>
      </c>
      <c r="F42" s="481">
        <f t="shared" si="7"/>
        <v>25</v>
      </c>
      <c r="G42" s="481">
        <f t="shared" ref="G42:H44" si="8">I17</f>
        <v>97.3</v>
      </c>
      <c r="H42" s="481">
        <f t="shared" si="8"/>
        <v>26.2</v>
      </c>
      <c r="I42" s="481">
        <f t="shared" si="3"/>
        <v>71.099999999999994</v>
      </c>
      <c r="K42" s="480"/>
      <c r="L42" s="482">
        <f t="shared" si="4"/>
        <v>0.49433710859427055</v>
      </c>
      <c r="M42" s="482">
        <f t="shared" si="5"/>
        <v>0.26927029804727648</v>
      </c>
    </row>
    <row r="43" spans="1:17" x14ac:dyDescent="0.2">
      <c r="A43" s="478" t="s">
        <v>484</v>
      </c>
      <c r="B43" s="481">
        <f>B18</f>
        <v>39</v>
      </c>
      <c r="C43" s="481">
        <f t="shared" ref="C43:F44" si="9">C18</f>
        <v>39.1</v>
      </c>
      <c r="D43" s="481">
        <f t="shared" si="9"/>
        <v>3.9</v>
      </c>
      <c r="E43" s="481">
        <f t="shared" si="9"/>
        <v>0</v>
      </c>
      <c r="F43" s="481">
        <f t="shared" si="9"/>
        <v>0</v>
      </c>
      <c r="G43" s="481">
        <f t="shared" si="8"/>
        <v>59.3</v>
      </c>
      <c r="H43" s="481">
        <f t="shared" si="8"/>
        <v>6.4</v>
      </c>
      <c r="I43" s="481">
        <f t="shared" si="3"/>
        <v>52.9</v>
      </c>
      <c r="K43" s="480"/>
      <c r="L43" s="482">
        <f t="shared" si="4"/>
        <v>0.90930232558139534</v>
      </c>
      <c r="M43" s="482">
        <f t="shared" si="5"/>
        <v>0.10792580101180439</v>
      </c>
    </row>
    <row r="44" spans="1:17" x14ac:dyDescent="0.2">
      <c r="A44" s="584" t="s">
        <v>416</v>
      </c>
      <c r="B44" s="481">
        <f>B19</f>
        <v>44.9</v>
      </c>
      <c r="C44" s="481">
        <f t="shared" si="9"/>
        <v>14.5</v>
      </c>
      <c r="D44" s="481">
        <f t="shared" si="9"/>
        <v>26.5</v>
      </c>
      <c r="E44" s="481">
        <f t="shared" si="9"/>
        <v>0</v>
      </c>
      <c r="F44" s="481">
        <f t="shared" si="9"/>
        <v>6.6</v>
      </c>
      <c r="G44" s="481">
        <f t="shared" si="8"/>
        <v>43.2</v>
      </c>
      <c r="H44" s="481">
        <f t="shared" si="8"/>
        <v>7.3</v>
      </c>
      <c r="I44" s="481">
        <f t="shared" ref="I44" si="10">G44-H44</f>
        <v>35.900000000000006</v>
      </c>
      <c r="K44" s="480"/>
      <c r="L44" s="482">
        <f t="shared" ref="L44" si="11">C44/SUM(C44:F44)</f>
        <v>0.30462184873949577</v>
      </c>
      <c r="M44" s="482">
        <f t="shared" ref="M44" si="12">H44/(G44)</f>
        <v>0.16898148148148145</v>
      </c>
    </row>
    <row r="45" spans="1:17" x14ac:dyDescent="0.2">
      <c r="A45" s="478" t="s">
        <v>485</v>
      </c>
      <c r="B45" s="481">
        <f>B22</f>
        <v>42.4</v>
      </c>
      <c r="C45" s="481">
        <f>C22</f>
        <v>22.1</v>
      </c>
      <c r="D45" s="481">
        <f>D22</f>
        <v>14.1</v>
      </c>
      <c r="E45" s="481">
        <f>E22</f>
        <v>15.4</v>
      </c>
      <c r="F45" s="481">
        <f>F22</f>
        <v>6.9</v>
      </c>
      <c r="G45" s="481">
        <f>I22</f>
        <v>67.900000000000006</v>
      </c>
      <c r="H45" s="481">
        <f>J22</f>
        <v>8.8000000000000007</v>
      </c>
      <c r="I45" s="481">
        <f>G45-H45</f>
        <v>59.100000000000009</v>
      </c>
      <c r="K45" s="480"/>
      <c r="L45" s="482">
        <f>C45/SUM(C45:F45)</f>
        <v>0.37777777777777782</v>
      </c>
      <c r="M45" s="482">
        <f>H45/(G45)</f>
        <v>0.12960235640648013</v>
      </c>
    </row>
    <row r="46" spans="1:17" x14ac:dyDescent="0.2">
      <c r="A46" s="478" t="s">
        <v>486</v>
      </c>
      <c r="B46" s="481">
        <f t="shared" ref="B46:F46" si="13">B21</f>
        <v>22</v>
      </c>
      <c r="C46" s="481">
        <f t="shared" si="13"/>
        <v>20.5</v>
      </c>
      <c r="D46" s="481">
        <f t="shared" si="13"/>
        <v>2.5</v>
      </c>
      <c r="E46" s="481">
        <f t="shared" si="13"/>
        <v>6</v>
      </c>
      <c r="F46" s="481">
        <f t="shared" si="13"/>
        <v>0</v>
      </c>
      <c r="G46" s="481">
        <f t="shared" ref="G46" si="14">I21</f>
        <v>48.4</v>
      </c>
      <c r="H46" s="481">
        <f t="shared" ref="H46" si="15">J21</f>
        <v>7.6</v>
      </c>
      <c r="I46" s="481">
        <f t="shared" ref="I46:I54" si="16">G46-H46</f>
        <v>40.799999999999997</v>
      </c>
      <c r="K46" s="480"/>
      <c r="L46" s="482">
        <f t="shared" ref="L46:L54" si="17">C46/SUM(C46:F46)</f>
        <v>0.7068965517241379</v>
      </c>
      <c r="M46" s="482">
        <f t="shared" ref="M46:M54" si="18">H46/(G46)</f>
        <v>0.15702479338842976</v>
      </c>
    </row>
    <row r="47" spans="1:17" x14ac:dyDescent="0.2">
      <c r="A47" s="478" t="s">
        <v>425</v>
      </c>
      <c r="B47" s="481">
        <f>B23</f>
        <v>27.4</v>
      </c>
      <c r="C47" s="481">
        <f>C23</f>
        <v>25.7</v>
      </c>
      <c r="D47" s="481">
        <f>D23</f>
        <v>4.8</v>
      </c>
      <c r="E47" s="481">
        <f>E23</f>
        <v>0</v>
      </c>
      <c r="F47" s="481">
        <f>F23</f>
        <v>9.4</v>
      </c>
      <c r="G47" s="481">
        <f>I23</f>
        <v>51.400000000000006</v>
      </c>
      <c r="H47" s="481">
        <f>J23</f>
        <v>7.6</v>
      </c>
      <c r="I47" s="481">
        <f t="shared" si="16"/>
        <v>43.800000000000004</v>
      </c>
      <c r="K47" s="480"/>
      <c r="L47" s="482">
        <f t="shared" si="17"/>
        <v>0.64411027568922308</v>
      </c>
      <c r="M47" s="482">
        <f t="shared" si="18"/>
        <v>0.1478599221789883</v>
      </c>
    </row>
    <row r="48" spans="1:17" x14ac:dyDescent="0.2">
      <c r="A48" s="478" t="s">
        <v>173</v>
      </c>
      <c r="B48" s="481">
        <f>B29</f>
        <v>58.6</v>
      </c>
      <c r="C48" s="481">
        <f>C29</f>
        <v>44.8</v>
      </c>
      <c r="D48" s="481">
        <f>D29</f>
        <v>2.2999999999999998</v>
      </c>
      <c r="E48" s="481">
        <f>E29</f>
        <v>0</v>
      </c>
      <c r="F48" s="481">
        <f>F29</f>
        <v>0</v>
      </c>
      <c r="G48" s="481">
        <f>I29</f>
        <v>94.100000000000009</v>
      </c>
      <c r="H48" s="481">
        <f>J29</f>
        <v>14.3</v>
      </c>
      <c r="I48" s="481">
        <f>G48-H48</f>
        <v>79.800000000000011</v>
      </c>
      <c r="K48" s="480"/>
      <c r="L48" s="482">
        <f>C48/SUM(C48:F48)</f>
        <v>0.95116772823779194</v>
      </c>
      <c r="M48" s="482">
        <f>H48/(G48)</f>
        <v>0.15196599362380445</v>
      </c>
    </row>
    <row r="49" spans="1:13" x14ac:dyDescent="0.2">
      <c r="A49" s="478" t="s">
        <v>656</v>
      </c>
      <c r="B49" s="481">
        <f t="shared" ref="B49:F53" si="19">B24</f>
        <v>34.799999999999997</v>
      </c>
      <c r="C49" s="481">
        <f t="shared" si="19"/>
        <v>35.299999999999997</v>
      </c>
      <c r="D49" s="481">
        <f t="shared" si="19"/>
        <v>2.1</v>
      </c>
      <c r="E49" s="481">
        <f t="shared" si="19"/>
        <v>6.4</v>
      </c>
      <c r="F49" s="481">
        <f t="shared" si="19"/>
        <v>4.7</v>
      </c>
      <c r="G49" s="481">
        <f t="shared" ref="G49:H53" si="20">I24</f>
        <v>44.199999999999996</v>
      </c>
      <c r="H49" s="481">
        <f t="shared" si="20"/>
        <v>17.7</v>
      </c>
      <c r="I49" s="481">
        <f t="shared" si="16"/>
        <v>26.499999999999996</v>
      </c>
      <c r="K49" s="480"/>
      <c r="L49" s="482">
        <f t="shared" si="17"/>
        <v>0.72783505154639172</v>
      </c>
      <c r="M49" s="482">
        <f t="shared" si="18"/>
        <v>0.40045248868778283</v>
      </c>
    </row>
    <row r="50" spans="1:13" x14ac:dyDescent="0.2">
      <c r="A50" s="478" t="s">
        <v>488</v>
      </c>
      <c r="B50" s="481">
        <f t="shared" si="19"/>
        <v>40.4</v>
      </c>
      <c r="C50" s="481">
        <f t="shared" si="19"/>
        <v>25.8</v>
      </c>
      <c r="D50" s="481">
        <f t="shared" si="19"/>
        <v>21.4</v>
      </c>
      <c r="E50" s="481">
        <f t="shared" si="19"/>
        <v>3.5</v>
      </c>
      <c r="F50" s="481">
        <f t="shared" si="19"/>
        <v>0</v>
      </c>
      <c r="G50" s="481">
        <f t="shared" si="20"/>
        <v>44.800000000000004</v>
      </c>
      <c r="H50" s="481">
        <f t="shared" si="20"/>
        <v>11.2</v>
      </c>
      <c r="I50" s="481">
        <f t="shared" si="16"/>
        <v>33.600000000000009</v>
      </c>
      <c r="K50" s="480"/>
      <c r="L50" s="482">
        <f t="shared" si="17"/>
        <v>0.50887573964497035</v>
      </c>
      <c r="M50" s="482">
        <f t="shared" si="18"/>
        <v>0.24999999999999997</v>
      </c>
    </row>
    <row r="51" spans="1:13" x14ac:dyDescent="0.2">
      <c r="A51" s="478" t="s">
        <v>657</v>
      </c>
      <c r="B51" s="481">
        <f t="shared" si="19"/>
        <v>28.8</v>
      </c>
      <c r="C51" s="481">
        <f t="shared" si="19"/>
        <v>25</v>
      </c>
      <c r="D51" s="481">
        <f t="shared" si="19"/>
        <v>0</v>
      </c>
      <c r="E51" s="481">
        <f t="shared" si="19"/>
        <v>5.6</v>
      </c>
      <c r="F51" s="481">
        <f t="shared" si="19"/>
        <v>0</v>
      </c>
      <c r="G51" s="481">
        <f t="shared" si="20"/>
        <v>15.9</v>
      </c>
      <c r="H51" s="481">
        <f t="shared" si="20"/>
        <v>3.6</v>
      </c>
      <c r="I51" s="481">
        <f t="shared" si="16"/>
        <v>12.3</v>
      </c>
      <c r="K51" s="480"/>
      <c r="L51" s="482">
        <f t="shared" si="17"/>
        <v>0.81699346405228757</v>
      </c>
      <c r="M51" s="482">
        <f t="shared" si="18"/>
        <v>0.22641509433962265</v>
      </c>
    </row>
    <row r="52" spans="1:13" x14ac:dyDescent="0.2">
      <c r="A52" s="478" t="s">
        <v>433</v>
      </c>
      <c r="B52" s="481">
        <f t="shared" si="19"/>
        <v>43.7</v>
      </c>
      <c r="C52" s="481">
        <f t="shared" si="19"/>
        <v>35.5</v>
      </c>
      <c r="D52" s="481">
        <f t="shared" si="19"/>
        <v>15</v>
      </c>
      <c r="E52" s="481">
        <f t="shared" si="19"/>
        <v>0</v>
      </c>
      <c r="F52" s="481">
        <f t="shared" si="19"/>
        <v>0</v>
      </c>
      <c r="G52" s="481">
        <f t="shared" si="20"/>
        <v>25.7</v>
      </c>
      <c r="H52" s="481">
        <f t="shared" si="20"/>
        <v>4.3</v>
      </c>
      <c r="I52" s="481">
        <f t="shared" si="16"/>
        <v>21.4</v>
      </c>
      <c r="K52" s="480"/>
      <c r="L52" s="482">
        <f t="shared" si="17"/>
        <v>0.70297029702970293</v>
      </c>
      <c r="M52" s="482">
        <f t="shared" si="18"/>
        <v>0.16731517509727625</v>
      </c>
    </row>
    <row r="53" spans="1:13" x14ac:dyDescent="0.2">
      <c r="A53" s="478" t="s">
        <v>489</v>
      </c>
      <c r="B53" s="481">
        <f t="shared" si="19"/>
        <v>19.899999999999999</v>
      </c>
      <c r="C53" s="481">
        <f t="shared" si="19"/>
        <v>16.7</v>
      </c>
      <c r="D53" s="481">
        <f t="shared" si="19"/>
        <v>2.9</v>
      </c>
      <c r="E53" s="481">
        <f t="shared" si="19"/>
        <v>0</v>
      </c>
      <c r="F53" s="481">
        <f t="shared" si="19"/>
        <v>7</v>
      </c>
      <c r="G53" s="481">
        <f t="shared" si="20"/>
        <v>21.700000000000003</v>
      </c>
      <c r="H53" s="481">
        <f t="shared" si="20"/>
        <v>3.4</v>
      </c>
      <c r="I53" s="481">
        <f t="shared" si="16"/>
        <v>18.300000000000004</v>
      </c>
      <c r="K53" s="480"/>
      <c r="L53" s="482">
        <f t="shared" si="17"/>
        <v>0.6278195488721805</v>
      </c>
      <c r="M53" s="482">
        <f t="shared" si="18"/>
        <v>0.15668202764976957</v>
      </c>
    </row>
    <row r="54" spans="1:13" x14ac:dyDescent="0.2">
      <c r="A54" s="478" t="s">
        <v>438</v>
      </c>
      <c r="B54" s="481">
        <f>B30</f>
        <v>14.3</v>
      </c>
      <c r="C54" s="481">
        <f>C30</f>
        <v>15</v>
      </c>
      <c r="D54" s="481">
        <f>D30</f>
        <v>1.4</v>
      </c>
      <c r="E54" s="481">
        <f>E30</f>
        <v>0</v>
      </c>
      <c r="F54" s="481">
        <f>F30</f>
        <v>0</v>
      </c>
      <c r="G54" s="481">
        <f>I30</f>
        <v>14.7</v>
      </c>
      <c r="H54" s="481">
        <f>J30</f>
        <v>2.2000000000000002</v>
      </c>
      <c r="I54" s="481">
        <f t="shared" si="16"/>
        <v>12.5</v>
      </c>
      <c r="K54" s="480"/>
      <c r="L54" s="482">
        <f t="shared" si="17"/>
        <v>0.91463414634146345</v>
      </c>
      <c r="M54" s="482">
        <f t="shared" si="18"/>
        <v>0.14965986394557826</v>
      </c>
    </row>
    <row r="56" spans="1:13" x14ac:dyDescent="0.2">
      <c r="A56" s="606" t="b">
        <v>1</v>
      </c>
    </row>
    <row r="57" spans="1:13" x14ac:dyDescent="0.2">
      <c r="A57" s="606" t="b">
        <v>0</v>
      </c>
      <c r="H57" s="173"/>
    </row>
    <row r="58" spans="1:13" x14ac:dyDescent="0.2">
      <c r="C58" s="479"/>
      <c r="D58" s="479"/>
      <c r="E58" s="479"/>
      <c r="F58" s="479"/>
      <c r="G58" s="479"/>
      <c r="H58" s="237"/>
      <c r="I58" s="480"/>
      <c r="J58" s="480"/>
    </row>
    <row r="59" spans="1:13" x14ac:dyDescent="0.2">
      <c r="C59" s="480"/>
      <c r="D59" s="479"/>
      <c r="E59" s="479"/>
      <c r="F59" s="479"/>
      <c r="G59" s="479"/>
      <c r="H59" s="237"/>
      <c r="I59" s="480"/>
      <c r="J59" s="480"/>
      <c r="K59" s="482"/>
      <c r="L59" s="482"/>
    </row>
    <row r="60" spans="1:13" x14ac:dyDescent="0.2">
      <c r="C60" s="483"/>
      <c r="D60" s="483"/>
      <c r="E60" s="483"/>
      <c r="F60" s="483"/>
      <c r="G60" s="483"/>
      <c r="H60" s="237"/>
      <c r="I60" s="480"/>
      <c r="J60" s="480"/>
      <c r="K60" s="482"/>
      <c r="L60" s="482"/>
    </row>
    <row r="65" spans="3:12" x14ac:dyDescent="0.2">
      <c r="C65" s="480"/>
    </row>
    <row r="66" spans="3:12" x14ac:dyDescent="0.2">
      <c r="C66" s="480"/>
    </row>
    <row r="67" spans="3:12" x14ac:dyDescent="0.2">
      <c r="C67" s="480"/>
    </row>
    <row r="72" spans="3:12" x14ac:dyDescent="0.2">
      <c r="H72" s="173"/>
    </row>
    <row r="73" spans="3:12" x14ac:dyDescent="0.2">
      <c r="C73" s="479"/>
      <c r="D73" s="479"/>
      <c r="E73" s="479"/>
      <c r="F73" s="479"/>
      <c r="G73" s="479"/>
      <c r="H73" s="237"/>
      <c r="I73" s="480"/>
      <c r="J73" s="480"/>
    </row>
    <row r="74" spans="3:12" x14ac:dyDescent="0.2">
      <c r="C74" s="480"/>
      <c r="D74" s="479"/>
      <c r="E74" s="479"/>
      <c r="F74" s="479"/>
      <c r="G74" s="479"/>
      <c r="H74" s="237"/>
      <c r="I74" s="480"/>
      <c r="J74" s="480"/>
      <c r="K74" s="482"/>
      <c r="L74" s="482"/>
    </row>
    <row r="75" spans="3:12" x14ac:dyDescent="0.2">
      <c r="C75" s="483"/>
      <c r="D75" s="483"/>
      <c r="E75" s="483"/>
      <c r="F75" s="483"/>
      <c r="G75" s="483"/>
      <c r="H75" s="237"/>
      <c r="I75" s="480"/>
      <c r="J75" s="480"/>
      <c r="K75" s="482"/>
      <c r="L75" s="482"/>
    </row>
    <row r="83" spans="3:5" x14ac:dyDescent="0.2">
      <c r="C83" s="479"/>
      <c r="D83" s="480"/>
      <c r="E83" s="483"/>
    </row>
    <row r="84" spans="3:5" x14ac:dyDescent="0.2">
      <c r="C84" s="479"/>
      <c r="D84" s="479"/>
      <c r="E84" s="483"/>
    </row>
    <row r="85" spans="3:5" x14ac:dyDescent="0.2">
      <c r="C85" s="479"/>
      <c r="D85" s="479"/>
      <c r="E85" s="483"/>
    </row>
    <row r="86" spans="3:5" x14ac:dyDescent="0.2">
      <c r="C86" s="479"/>
      <c r="D86" s="479"/>
      <c r="E86" s="483"/>
    </row>
    <row r="87" spans="3:5" x14ac:dyDescent="0.2">
      <c r="C87" s="479"/>
      <c r="D87" s="479"/>
      <c r="E87" s="483"/>
    </row>
    <row r="88" spans="3:5" x14ac:dyDescent="0.2">
      <c r="C88" s="480"/>
      <c r="D88" s="480"/>
      <c r="E88" s="480"/>
    </row>
    <row r="89" spans="3:5" x14ac:dyDescent="0.2">
      <c r="C89" s="480"/>
      <c r="D89" s="480"/>
      <c r="E89" s="480"/>
    </row>
    <row r="90" spans="3:5" x14ac:dyDescent="0.2">
      <c r="C90" s="480"/>
      <c r="D90" s="480"/>
      <c r="E90" s="480"/>
    </row>
    <row r="91" spans="3:5" x14ac:dyDescent="0.2">
      <c r="D91" s="482"/>
      <c r="E91" s="482"/>
    </row>
    <row r="92" spans="3:5" x14ac:dyDescent="0.2">
      <c r="D92" s="482"/>
      <c r="E92" s="482"/>
    </row>
  </sheetData>
  <pageMargins left="0.7" right="0.7" top="0.75" bottom="0.75" header="0.3" footer="0.3"/>
  <pageSetup orientation="portrait" horizontalDpi="360" verticalDpi="36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13B5-5EBA-413C-B3F6-06C04C6FA103}">
  <dimension ref="A1:CC15"/>
  <sheetViews>
    <sheetView topLeftCell="B1" workbookViewId="0">
      <selection activeCell="B5" sqref="B5:CC15"/>
    </sheetView>
  </sheetViews>
  <sheetFormatPr defaultRowHeight="12.75" x14ac:dyDescent="0.2"/>
  <cols>
    <col min="1" max="1" width="23.5703125" style="270" customWidth="1"/>
    <col min="2" max="2" width="19" style="270" customWidth="1"/>
    <col min="3" max="16384" width="9.140625" style="270"/>
  </cols>
  <sheetData>
    <row r="1" spans="1:81" ht="20.25" x14ac:dyDescent="0.3">
      <c r="A1" s="272" t="s">
        <v>662</v>
      </c>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row>
    <row r="2" spans="1:81" x14ac:dyDescent="0.2">
      <c r="A2" s="395" t="s">
        <v>663</v>
      </c>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row>
    <row r="5" spans="1:81" ht="51" x14ac:dyDescent="0.2">
      <c r="A5" s="395" t="s">
        <v>664</v>
      </c>
      <c r="B5" s="415" t="s">
        <v>665</v>
      </c>
      <c r="C5" s="415" t="str">
        <f t="shared" ref="C5:AH5" si="0">C6&amp;C7&amp;C8</f>
        <v>NYCMF-New-Tall0</v>
      </c>
      <c r="D5" s="415" t="str">
        <f t="shared" si="0"/>
        <v>NYCMF-New-Tall1</v>
      </c>
      <c r="E5" s="415" t="str">
        <f t="shared" si="0"/>
        <v>NYCMF-New-Tall2</v>
      </c>
      <c r="F5" s="415" t="str">
        <f t="shared" si="0"/>
        <v>NYCMF-New-Tall3</v>
      </c>
      <c r="G5" s="415" t="str">
        <f t="shared" si="0"/>
        <v>SeattleMF-New-Tall0</v>
      </c>
      <c r="H5" s="415" t="str">
        <f t="shared" si="0"/>
        <v>SeattleMF-New-Tall1</v>
      </c>
      <c r="I5" s="415" t="str">
        <f t="shared" si="0"/>
        <v>SeattleMF-New-Tall2</v>
      </c>
      <c r="J5" s="415" t="str">
        <f t="shared" si="0"/>
        <v>SeattleMF-New-Tall3</v>
      </c>
      <c r="K5" s="415" t="str">
        <f t="shared" si="0"/>
        <v>DCMF-New-Tall0</v>
      </c>
      <c r="L5" s="415" t="str">
        <f t="shared" si="0"/>
        <v>DCMF-New-Tall1</v>
      </c>
      <c r="M5" s="415" t="str">
        <f t="shared" si="0"/>
        <v>DCMF-New-Tall2</v>
      </c>
      <c r="N5" s="415" t="str">
        <f t="shared" si="0"/>
        <v>DCMF-New-Tall3</v>
      </c>
      <c r="O5" s="415" t="str">
        <f t="shared" si="0"/>
        <v>Santa MonMF-New-Tall0</v>
      </c>
      <c r="P5" s="415" t="str">
        <f t="shared" si="0"/>
        <v>Santa MonMF-New-Tall1</v>
      </c>
      <c r="Q5" s="415" t="str">
        <f t="shared" si="0"/>
        <v>Santa MonMF-New-Tall2</v>
      </c>
      <c r="R5" s="415" t="str">
        <f t="shared" si="0"/>
        <v>NYCMF-Old-Tall0</v>
      </c>
      <c r="S5" s="415" t="str">
        <f t="shared" si="0"/>
        <v>NYCMF-Old-Tall1</v>
      </c>
      <c r="T5" s="415" t="str">
        <f t="shared" si="0"/>
        <v>NYCMF-Old-Tall2</v>
      </c>
      <c r="U5" s="415" t="str">
        <f t="shared" si="0"/>
        <v>NYCMF-Old-Tall3</v>
      </c>
      <c r="V5" s="415" t="str">
        <f t="shared" si="0"/>
        <v>SeattleMF-Old-Tall0</v>
      </c>
      <c r="W5" s="415" t="str">
        <f t="shared" si="0"/>
        <v>SeattleMF-Old-Tall1</v>
      </c>
      <c r="X5" s="415" t="str">
        <f t="shared" si="0"/>
        <v>SeattleMF-Old-Tall2</v>
      </c>
      <c r="Y5" s="415" t="str">
        <f t="shared" si="0"/>
        <v>SeattleMF-Old-Tall3</v>
      </c>
      <c r="Z5" s="415" t="str">
        <f t="shared" si="0"/>
        <v>DCMF-Old-Tall0</v>
      </c>
      <c r="AA5" s="415" t="str">
        <f t="shared" si="0"/>
        <v>DCMF-Old-Tall1</v>
      </c>
      <c r="AB5" s="415" t="str">
        <f t="shared" si="0"/>
        <v>DCMF-Old-Tall2</v>
      </c>
      <c r="AC5" s="415" t="str">
        <f t="shared" si="0"/>
        <v>DCMF-Old-Tall3</v>
      </c>
      <c r="AD5" s="415" t="str">
        <f t="shared" si="0"/>
        <v>Santa MonMF-Old-Tall0</v>
      </c>
      <c r="AE5" s="415" t="str">
        <f t="shared" si="0"/>
        <v>Santa MonMF-Old-Tall1</v>
      </c>
      <c r="AF5" s="415" t="str">
        <f t="shared" si="0"/>
        <v>Santa MonMF-Old-Tall2</v>
      </c>
      <c r="AG5" s="415" t="str">
        <f t="shared" si="0"/>
        <v>Santa MonMF-Old-Tall3</v>
      </c>
      <c r="AH5" s="415" t="str">
        <f t="shared" si="0"/>
        <v>NYCMF-Short0</v>
      </c>
      <c r="AI5" s="415" t="str">
        <f t="shared" ref="AI5:BN5" si="1">AI6&amp;AI7&amp;AI8</f>
        <v>NYCMF-Short1</v>
      </c>
      <c r="AJ5" s="415" t="str">
        <f t="shared" si="1"/>
        <v>NYCMF-Short2</v>
      </c>
      <c r="AK5" s="415" t="str">
        <f t="shared" si="1"/>
        <v>NYCMF-Short3</v>
      </c>
      <c r="AL5" s="415" t="str">
        <f t="shared" si="1"/>
        <v>SeattleMF-Short0</v>
      </c>
      <c r="AM5" s="415" t="str">
        <f t="shared" si="1"/>
        <v>SeattleMF-Short1</v>
      </c>
      <c r="AN5" s="415" t="str">
        <f t="shared" si="1"/>
        <v>SeattleMF-Short2</v>
      </c>
      <c r="AO5" s="415" t="str">
        <f t="shared" si="1"/>
        <v>SeattleMF-Short3</v>
      </c>
      <c r="AP5" s="415" t="str">
        <f t="shared" si="1"/>
        <v>DCMF-Short0</v>
      </c>
      <c r="AQ5" s="415" t="str">
        <f t="shared" si="1"/>
        <v>DCMF-Short1</v>
      </c>
      <c r="AR5" s="415" t="str">
        <f t="shared" si="1"/>
        <v>DCMF-Short2</v>
      </c>
      <c r="AS5" s="415" t="str">
        <f t="shared" si="1"/>
        <v>DCMF-Short3</v>
      </c>
      <c r="AT5" s="415" t="str">
        <f t="shared" si="1"/>
        <v>Santa MonMF-Short0</v>
      </c>
      <c r="AU5" s="415" t="str">
        <f t="shared" si="1"/>
        <v>Santa MonMF-Short1</v>
      </c>
      <c r="AV5" s="415" t="str">
        <f t="shared" si="1"/>
        <v>Santa MonMF-Short2</v>
      </c>
      <c r="AW5" s="415" t="str">
        <f t="shared" si="1"/>
        <v>Santa MonMF-Short3</v>
      </c>
      <c r="AX5" s="415" t="str">
        <f t="shared" si="1"/>
        <v>NYCHotel-Dorm-Lodging0</v>
      </c>
      <c r="AY5" s="415" t="str">
        <f t="shared" si="1"/>
        <v>NYCHotel-Dorm-Lodging1</v>
      </c>
      <c r="AZ5" s="415" t="str">
        <f t="shared" si="1"/>
        <v>NYCHotel-Dorm-Lodging2</v>
      </c>
      <c r="BA5" s="415" t="str">
        <f t="shared" si="1"/>
        <v>NYCHotel-Dorm-Lodging3</v>
      </c>
      <c r="BB5" s="415" t="str">
        <f t="shared" si="1"/>
        <v>SeattleHotel-Dorm-Lodging0</v>
      </c>
      <c r="BC5" s="415" t="str">
        <f t="shared" si="1"/>
        <v>SeattleHotel-Dorm-Lodging1</v>
      </c>
      <c r="BD5" s="415" t="str">
        <f t="shared" si="1"/>
        <v>SeattleHotel-Dorm-Lodging2</v>
      </c>
      <c r="BE5" s="415" t="str">
        <f t="shared" si="1"/>
        <v>SeattleHotel-Dorm-Lodging3</v>
      </c>
      <c r="BF5" s="415" t="str">
        <f t="shared" si="1"/>
        <v>DCHotel-Dorm-Lodging0</v>
      </c>
      <c r="BG5" s="415" t="str">
        <f t="shared" si="1"/>
        <v>DCHotel-Dorm-Lodging1</v>
      </c>
      <c r="BH5" s="415" t="str">
        <f t="shared" si="1"/>
        <v>DCHotel-Dorm-Lodging2</v>
      </c>
      <c r="BI5" s="415" t="str">
        <f t="shared" si="1"/>
        <v>DCHotel-Dorm-Lodging3</v>
      </c>
      <c r="BJ5" s="415" t="str">
        <f t="shared" si="1"/>
        <v>Santa MonHotel-Dorm-Lodging0</v>
      </c>
      <c r="BK5" s="415" t="str">
        <f t="shared" si="1"/>
        <v>Santa MonHotel-Dorm-Lodging1</v>
      </c>
      <c r="BL5" s="415" t="str">
        <f t="shared" si="1"/>
        <v>Santa MonHotel-Dorm-Lodging2</v>
      </c>
      <c r="BM5" s="415" t="str">
        <f t="shared" si="1"/>
        <v>Santa MonHotel-Dorm-Lodging3</v>
      </c>
      <c r="BN5" s="415" t="str">
        <f t="shared" si="1"/>
        <v>NYCOffice0</v>
      </c>
      <c r="BO5" s="415" t="str">
        <f t="shared" ref="BO5:CC5" si="2">BO6&amp;BO7&amp;BO8</f>
        <v>NYCOffice1</v>
      </c>
      <c r="BP5" s="415" t="str">
        <f t="shared" si="2"/>
        <v>NYCOffice2</v>
      </c>
      <c r="BQ5" s="415" t="str">
        <f t="shared" si="2"/>
        <v>NYCOffice3</v>
      </c>
      <c r="BR5" s="415" t="str">
        <f t="shared" si="2"/>
        <v>SeattleOffice0</v>
      </c>
      <c r="BS5" s="415" t="str">
        <f t="shared" si="2"/>
        <v>SeattleOffice1</v>
      </c>
      <c r="BT5" s="415" t="str">
        <f t="shared" si="2"/>
        <v>SeattleOffice2</v>
      </c>
      <c r="BU5" s="415" t="str">
        <f t="shared" si="2"/>
        <v>SeattleOffice3</v>
      </c>
      <c r="BV5" s="415" t="str">
        <f t="shared" si="2"/>
        <v>DCOffice0</v>
      </c>
      <c r="BW5" s="415" t="str">
        <f t="shared" si="2"/>
        <v>DCOffice1</v>
      </c>
      <c r="BX5" s="415" t="str">
        <f t="shared" si="2"/>
        <v>DCOffice2</v>
      </c>
      <c r="BY5" s="415" t="str">
        <f t="shared" si="2"/>
        <v>DCOffice3</v>
      </c>
      <c r="BZ5" s="415" t="str">
        <f t="shared" si="2"/>
        <v>Santa MonOffice0</v>
      </c>
      <c r="CA5" s="415" t="str">
        <f t="shared" si="2"/>
        <v>Santa MonOffice1</v>
      </c>
      <c r="CB5" s="415" t="str">
        <f t="shared" si="2"/>
        <v>Santa MonOffice2</v>
      </c>
      <c r="CC5" s="415" t="str">
        <f t="shared" si="2"/>
        <v>Santa MonOffice3</v>
      </c>
    </row>
    <row r="6" spans="1:81" ht="25.5" x14ac:dyDescent="0.2">
      <c r="A6" s="395">
        <v>2</v>
      </c>
      <c r="B6" s="415" t="s">
        <v>395</v>
      </c>
      <c r="C6" s="415" t="str">
        <f>'MF-New-Tall'!H77</f>
        <v>NYC</v>
      </c>
      <c r="D6" s="415" t="str">
        <f>'MF-New-Tall'!I77</f>
        <v>NYC</v>
      </c>
      <c r="E6" s="415" t="str">
        <f>'MF-New-Tall'!J77</f>
        <v>NYC</v>
      </c>
      <c r="F6" s="415" t="str">
        <f>'MF-New-Tall'!K77</f>
        <v>NYC</v>
      </c>
      <c r="G6" s="415" t="str">
        <f>'MF-New-Tall'!L77</f>
        <v>Seattle</v>
      </c>
      <c r="H6" s="415" t="str">
        <f>'MF-New-Tall'!M77</f>
        <v>Seattle</v>
      </c>
      <c r="I6" s="415" t="str">
        <f>'MF-New-Tall'!N77</f>
        <v>Seattle</v>
      </c>
      <c r="J6" s="415" t="str">
        <f>'MF-New-Tall'!O77</f>
        <v>Seattle</v>
      </c>
      <c r="K6" s="415" t="str">
        <f>'MF-New-Tall'!P77</f>
        <v>DC</v>
      </c>
      <c r="L6" s="415" t="str">
        <f>'MF-New-Tall'!Q77</f>
        <v>DC</v>
      </c>
      <c r="M6" s="415" t="str">
        <f>'MF-New-Tall'!R77</f>
        <v>DC</v>
      </c>
      <c r="N6" s="415" t="str">
        <f>'MF-New-Tall'!S77</f>
        <v>DC</v>
      </c>
      <c r="O6" s="415" t="str">
        <f>'MF-New-Tall'!T77</f>
        <v>Santa Mon</v>
      </c>
      <c r="P6" s="415" t="str">
        <f>'MF-New-Tall'!U77</f>
        <v>Santa Mon</v>
      </c>
      <c r="Q6" s="415" t="str">
        <f>'MF-New-Tall'!V77</f>
        <v>Santa Mon</v>
      </c>
      <c r="R6" s="415" t="str">
        <f>'MF-Old-Tall'!H77</f>
        <v>NYC</v>
      </c>
      <c r="S6" s="415" t="str">
        <f>'MF-Old-Tall'!I77</f>
        <v>NYC</v>
      </c>
      <c r="T6" s="415" t="str">
        <f>'MF-Old-Tall'!J77</f>
        <v>NYC</v>
      </c>
      <c r="U6" s="415" t="str">
        <f>'MF-Old-Tall'!K77</f>
        <v>NYC</v>
      </c>
      <c r="V6" s="415" t="str">
        <f>'MF-Old-Tall'!L77</f>
        <v>Seattle</v>
      </c>
      <c r="W6" s="415" t="str">
        <f>'MF-Old-Tall'!M77</f>
        <v>Seattle</v>
      </c>
      <c r="X6" s="415" t="str">
        <f>'MF-Old-Tall'!N77</f>
        <v>Seattle</v>
      </c>
      <c r="Y6" s="415" t="str">
        <f>'MF-Old-Tall'!O77</f>
        <v>Seattle</v>
      </c>
      <c r="Z6" s="415" t="str">
        <f>'MF-Old-Tall'!P77</f>
        <v>DC</v>
      </c>
      <c r="AA6" s="415" t="str">
        <f>'MF-Old-Tall'!Q77</f>
        <v>DC</v>
      </c>
      <c r="AB6" s="415" t="str">
        <f>'MF-Old-Tall'!R77</f>
        <v>DC</v>
      </c>
      <c r="AC6" s="415" t="str">
        <f>'MF-Old-Tall'!S77</f>
        <v>DC</v>
      </c>
      <c r="AD6" s="415" t="str">
        <f>'MF-Old-Tall'!T77</f>
        <v>Santa Mon</v>
      </c>
      <c r="AE6" s="415" t="str">
        <f>'MF-Old-Tall'!U77</f>
        <v>Santa Mon</v>
      </c>
      <c r="AF6" s="415" t="str">
        <f>'MF-Old-Tall'!V77</f>
        <v>Santa Mon</v>
      </c>
      <c r="AG6" s="415" t="str">
        <f>'MF-Old-Tall'!W77</f>
        <v>Santa Mon</v>
      </c>
      <c r="AH6" s="415" t="str">
        <f>'MF-Short'!H77</f>
        <v>NYC</v>
      </c>
      <c r="AI6" s="415" t="str">
        <f>'MF-Short'!I77</f>
        <v>NYC</v>
      </c>
      <c r="AJ6" s="415" t="str">
        <f>'MF-Short'!J77</f>
        <v>NYC</v>
      </c>
      <c r="AK6" s="415" t="str">
        <f>'MF-Short'!K77</f>
        <v>NYC</v>
      </c>
      <c r="AL6" s="415" t="str">
        <f>'MF-Short'!L77</f>
        <v>Seattle</v>
      </c>
      <c r="AM6" s="415" t="str">
        <f>'MF-Short'!M77</f>
        <v>Seattle</v>
      </c>
      <c r="AN6" s="415" t="str">
        <f>'MF-Short'!N77</f>
        <v>Seattle</v>
      </c>
      <c r="AO6" s="415" t="str">
        <f>'MF-Short'!O77</f>
        <v>Seattle</v>
      </c>
      <c r="AP6" s="415" t="str">
        <f>'MF-Short'!P77</f>
        <v>DC</v>
      </c>
      <c r="AQ6" s="415" t="str">
        <f>'MF-Short'!Q77</f>
        <v>DC</v>
      </c>
      <c r="AR6" s="415" t="str">
        <f>'MF-Short'!R77</f>
        <v>DC</v>
      </c>
      <c r="AS6" s="415" t="str">
        <f>'MF-Short'!S77</f>
        <v>DC</v>
      </c>
      <c r="AT6" s="415" t="str">
        <f>'MF-Short'!T77</f>
        <v>Santa Mon</v>
      </c>
      <c r="AU6" s="415" t="str">
        <f>'MF-Short'!U77</f>
        <v>Santa Mon</v>
      </c>
      <c r="AV6" s="415" t="str">
        <f>'MF-Short'!V77</f>
        <v>Santa Mon</v>
      </c>
      <c r="AW6" s="415" t="str">
        <f>'MF-Short'!W77</f>
        <v>Santa Mon</v>
      </c>
      <c r="AX6" s="415" t="str">
        <f>'Hotel-Dorm-Lodging'!H77</f>
        <v>NYC</v>
      </c>
      <c r="AY6" s="415" t="str">
        <f>'Hotel-Dorm-Lodging'!I77</f>
        <v>NYC</v>
      </c>
      <c r="AZ6" s="415" t="str">
        <f>'Hotel-Dorm-Lodging'!J77</f>
        <v>NYC</v>
      </c>
      <c r="BA6" s="415" t="str">
        <f>'Hotel-Dorm-Lodging'!K77</f>
        <v>NYC</v>
      </c>
      <c r="BB6" s="415" t="str">
        <f>'Hotel-Dorm-Lodging'!L77</f>
        <v>Seattle</v>
      </c>
      <c r="BC6" s="415" t="str">
        <f>'Hotel-Dorm-Lodging'!M77</f>
        <v>Seattle</v>
      </c>
      <c r="BD6" s="415" t="str">
        <f>'Hotel-Dorm-Lodging'!N77</f>
        <v>Seattle</v>
      </c>
      <c r="BE6" s="415" t="str">
        <f>'Hotel-Dorm-Lodging'!O77</f>
        <v>Seattle</v>
      </c>
      <c r="BF6" s="415" t="str">
        <f>'Hotel-Dorm-Lodging'!P77</f>
        <v>DC</v>
      </c>
      <c r="BG6" s="415" t="str">
        <f>'Hotel-Dorm-Lodging'!Q77</f>
        <v>DC</v>
      </c>
      <c r="BH6" s="415" t="str">
        <f>'Hotel-Dorm-Lodging'!R77</f>
        <v>DC</v>
      </c>
      <c r="BI6" s="415" t="str">
        <f>'Hotel-Dorm-Lodging'!S77</f>
        <v>DC</v>
      </c>
      <c r="BJ6" s="415" t="str">
        <f>'Hotel-Dorm-Lodging'!T77</f>
        <v>Santa Mon</v>
      </c>
      <c r="BK6" s="415" t="str">
        <f>'Hotel-Dorm-Lodging'!U77</f>
        <v>Santa Mon</v>
      </c>
      <c r="BL6" s="415" t="str">
        <f>'Hotel-Dorm-Lodging'!V77</f>
        <v>Santa Mon</v>
      </c>
      <c r="BM6" s="415" t="str">
        <f>'Hotel-Dorm-Lodging'!W77</f>
        <v>Santa Mon</v>
      </c>
      <c r="BN6" s="415" t="str">
        <f>Office!H77</f>
        <v>NYC</v>
      </c>
      <c r="BO6" s="415" t="str">
        <f>Office!I77</f>
        <v>NYC</v>
      </c>
      <c r="BP6" s="415" t="str">
        <f>Office!J77</f>
        <v>NYC</v>
      </c>
      <c r="BQ6" s="415" t="str">
        <f>Office!K77</f>
        <v>NYC</v>
      </c>
      <c r="BR6" s="415" t="str">
        <f>Office!L77</f>
        <v>Seattle</v>
      </c>
      <c r="BS6" s="415" t="str">
        <f>Office!M77</f>
        <v>Seattle</v>
      </c>
      <c r="BT6" s="415" t="str">
        <f>Office!N77</f>
        <v>Seattle</v>
      </c>
      <c r="BU6" s="415" t="str">
        <f>Office!O77</f>
        <v>Seattle</v>
      </c>
      <c r="BV6" s="415" t="str">
        <f>Office!P77</f>
        <v>DC</v>
      </c>
      <c r="BW6" s="415" t="str">
        <f>Office!Q77</f>
        <v>DC</v>
      </c>
      <c r="BX6" s="415" t="str">
        <f>Office!R77</f>
        <v>DC</v>
      </c>
      <c r="BY6" s="415" t="str">
        <f>Office!S77</f>
        <v>DC</v>
      </c>
      <c r="BZ6" s="415" t="str">
        <f>Office!T77</f>
        <v>Santa Mon</v>
      </c>
      <c r="CA6" s="415" t="str">
        <f>Office!U77</f>
        <v>Santa Mon</v>
      </c>
      <c r="CB6" s="415" t="str">
        <f>Office!V77</f>
        <v>Santa Mon</v>
      </c>
      <c r="CC6" s="415" t="str">
        <f>Office!W77</f>
        <v>Santa Mon</v>
      </c>
    </row>
    <row r="7" spans="1:81" ht="38.25" x14ac:dyDescent="0.2">
      <c r="A7" s="395">
        <v>3</v>
      </c>
      <c r="B7" s="415" t="s">
        <v>666</v>
      </c>
      <c r="C7" s="415" t="str">
        <f>'MF-New-Tall'!H78</f>
        <v>MF-New-Tall</v>
      </c>
      <c r="D7" s="415" t="str">
        <f>'MF-New-Tall'!I78</f>
        <v>MF-New-Tall</v>
      </c>
      <c r="E7" s="415" t="str">
        <f>'MF-New-Tall'!J78</f>
        <v>MF-New-Tall</v>
      </c>
      <c r="F7" s="415" t="str">
        <f>'MF-New-Tall'!K78</f>
        <v>MF-New-Tall</v>
      </c>
      <c r="G7" s="415" t="str">
        <f>'MF-New-Tall'!L78</f>
        <v>MF-New-Tall</v>
      </c>
      <c r="H7" s="415" t="str">
        <f>'MF-New-Tall'!M78</f>
        <v>MF-New-Tall</v>
      </c>
      <c r="I7" s="415" t="str">
        <f>'MF-New-Tall'!N78</f>
        <v>MF-New-Tall</v>
      </c>
      <c r="J7" s="415" t="str">
        <f>'MF-New-Tall'!O78</f>
        <v>MF-New-Tall</v>
      </c>
      <c r="K7" s="415" t="str">
        <f>'MF-New-Tall'!P78</f>
        <v>MF-New-Tall</v>
      </c>
      <c r="L7" s="415" t="str">
        <f>'MF-New-Tall'!Q78</f>
        <v>MF-New-Tall</v>
      </c>
      <c r="M7" s="415" t="str">
        <f>'MF-New-Tall'!R78</f>
        <v>MF-New-Tall</v>
      </c>
      <c r="N7" s="415" t="str">
        <f>'MF-New-Tall'!S78</f>
        <v>MF-New-Tall</v>
      </c>
      <c r="O7" s="415" t="str">
        <f>'MF-New-Tall'!T78</f>
        <v>MF-New-Tall</v>
      </c>
      <c r="P7" s="415" t="str">
        <f>'MF-New-Tall'!U78</f>
        <v>MF-New-Tall</v>
      </c>
      <c r="Q7" s="415" t="str">
        <f>'MF-New-Tall'!V78</f>
        <v>MF-New-Tall</v>
      </c>
      <c r="R7" s="415" t="str">
        <f>'MF-Old-Tall'!H78</f>
        <v>MF-Old-Tall</v>
      </c>
      <c r="S7" s="415" t="str">
        <f>'MF-Old-Tall'!I78</f>
        <v>MF-Old-Tall</v>
      </c>
      <c r="T7" s="415" t="str">
        <f>'MF-Old-Tall'!J78</f>
        <v>MF-Old-Tall</v>
      </c>
      <c r="U7" s="415" t="str">
        <f>'MF-Old-Tall'!K78</f>
        <v>MF-Old-Tall</v>
      </c>
      <c r="V7" s="415" t="str">
        <f>'MF-Old-Tall'!L78</f>
        <v>MF-Old-Tall</v>
      </c>
      <c r="W7" s="415" t="str">
        <f>'MF-Old-Tall'!M78</f>
        <v>MF-Old-Tall</v>
      </c>
      <c r="X7" s="415" t="str">
        <f>'MF-Old-Tall'!N78</f>
        <v>MF-Old-Tall</v>
      </c>
      <c r="Y7" s="415" t="str">
        <f>'MF-Old-Tall'!O78</f>
        <v>MF-Old-Tall</v>
      </c>
      <c r="Z7" s="415" t="str">
        <f>'MF-Old-Tall'!P78</f>
        <v>MF-Old-Tall</v>
      </c>
      <c r="AA7" s="415" t="str">
        <f>'MF-Old-Tall'!Q78</f>
        <v>MF-Old-Tall</v>
      </c>
      <c r="AB7" s="415" t="str">
        <f>'MF-Old-Tall'!R78</f>
        <v>MF-Old-Tall</v>
      </c>
      <c r="AC7" s="415" t="str">
        <f>'MF-Old-Tall'!S78</f>
        <v>MF-Old-Tall</v>
      </c>
      <c r="AD7" s="415" t="str">
        <f>'MF-Old-Tall'!T78</f>
        <v>MF-Old-Tall</v>
      </c>
      <c r="AE7" s="415" t="str">
        <f>'MF-Old-Tall'!U78</f>
        <v>MF-Old-Tall</v>
      </c>
      <c r="AF7" s="415" t="str">
        <f>'MF-Old-Tall'!V78</f>
        <v>MF-Old-Tall</v>
      </c>
      <c r="AG7" s="415" t="str">
        <f>'MF-Old-Tall'!W78</f>
        <v>MF-Old-Tall</v>
      </c>
      <c r="AH7" s="415" t="str">
        <f>'MF-Short'!H78</f>
        <v>MF-Short</v>
      </c>
      <c r="AI7" s="415" t="str">
        <f>'MF-Short'!I78</f>
        <v>MF-Short</v>
      </c>
      <c r="AJ7" s="415" t="str">
        <f>'MF-Short'!J78</f>
        <v>MF-Short</v>
      </c>
      <c r="AK7" s="415" t="str">
        <f>'MF-Short'!K78</f>
        <v>MF-Short</v>
      </c>
      <c r="AL7" s="415" t="str">
        <f>'MF-Short'!L78</f>
        <v>MF-Short</v>
      </c>
      <c r="AM7" s="415" t="str">
        <f>'MF-Short'!M78</f>
        <v>MF-Short</v>
      </c>
      <c r="AN7" s="415" t="str">
        <f>'MF-Short'!N78</f>
        <v>MF-Short</v>
      </c>
      <c r="AO7" s="415" t="str">
        <f>'MF-Short'!O78</f>
        <v>MF-Short</v>
      </c>
      <c r="AP7" s="415" t="str">
        <f>'MF-Short'!P78</f>
        <v>MF-Short</v>
      </c>
      <c r="AQ7" s="415" t="str">
        <f>'MF-Short'!Q78</f>
        <v>MF-Short</v>
      </c>
      <c r="AR7" s="415" t="str">
        <f>'MF-Short'!R78</f>
        <v>MF-Short</v>
      </c>
      <c r="AS7" s="415" t="str">
        <f>'MF-Short'!S78</f>
        <v>MF-Short</v>
      </c>
      <c r="AT7" s="415" t="str">
        <f>'MF-Short'!T78</f>
        <v>MF-Short</v>
      </c>
      <c r="AU7" s="415" t="str">
        <f>'MF-Short'!U78</f>
        <v>MF-Short</v>
      </c>
      <c r="AV7" s="415" t="str">
        <f>'MF-Short'!V78</f>
        <v>MF-Short</v>
      </c>
      <c r="AW7" s="415" t="str">
        <f>'MF-Short'!W78</f>
        <v>MF-Short</v>
      </c>
      <c r="AX7" s="415" t="str">
        <f>'Hotel-Dorm-Lodging'!H78</f>
        <v>Hotel-Dorm-Lodging</v>
      </c>
      <c r="AY7" s="415" t="str">
        <f>'Hotel-Dorm-Lodging'!I78</f>
        <v>Hotel-Dorm-Lodging</v>
      </c>
      <c r="AZ7" s="415" t="str">
        <f>'Hotel-Dorm-Lodging'!J78</f>
        <v>Hotel-Dorm-Lodging</v>
      </c>
      <c r="BA7" s="415" t="str">
        <f>'Hotel-Dorm-Lodging'!K78</f>
        <v>Hotel-Dorm-Lodging</v>
      </c>
      <c r="BB7" s="415" t="str">
        <f>'Hotel-Dorm-Lodging'!L78</f>
        <v>Hotel-Dorm-Lodging</v>
      </c>
      <c r="BC7" s="415" t="str">
        <f>'Hotel-Dorm-Lodging'!M78</f>
        <v>Hotel-Dorm-Lodging</v>
      </c>
      <c r="BD7" s="415" t="str">
        <f>'Hotel-Dorm-Lodging'!N78</f>
        <v>Hotel-Dorm-Lodging</v>
      </c>
      <c r="BE7" s="415" t="str">
        <f>'Hotel-Dorm-Lodging'!O78</f>
        <v>Hotel-Dorm-Lodging</v>
      </c>
      <c r="BF7" s="415" t="str">
        <f>'Hotel-Dorm-Lodging'!P78</f>
        <v>Hotel-Dorm-Lodging</v>
      </c>
      <c r="BG7" s="415" t="str">
        <f>'Hotel-Dorm-Lodging'!Q78</f>
        <v>Hotel-Dorm-Lodging</v>
      </c>
      <c r="BH7" s="415" t="str">
        <f>'Hotel-Dorm-Lodging'!R78</f>
        <v>Hotel-Dorm-Lodging</v>
      </c>
      <c r="BI7" s="415" t="str">
        <f>'Hotel-Dorm-Lodging'!S78</f>
        <v>Hotel-Dorm-Lodging</v>
      </c>
      <c r="BJ7" s="415" t="str">
        <f>'Hotel-Dorm-Lodging'!T78</f>
        <v>Hotel-Dorm-Lodging</v>
      </c>
      <c r="BK7" s="415" t="str">
        <f>'Hotel-Dorm-Lodging'!U78</f>
        <v>Hotel-Dorm-Lodging</v>
      </c>
      <c r="BL7" s="415" t="str">
        <f>'Hotel-Dorm-Lodging'!V78</f>
        <v>Hotel-Dorm-Lodging</v>
      </c>
      <c r="BM7" s="415" t="str">
        <f>'Hotel-Dorm-Lodging'!W78</f>
        <v>Hotel-Dorm-Lodging</v>
      </c>
      <c r="BN7" s="415" t="str">
        <f>Office!H78</f>
        <v>Office</v>
      </c>
      <c r="BO7" s="415" t="str">
        <f>Office!I78</f>
        <v>Office</v>
      </c>
      <c r="BP7" s="415" t="str">
        <f>Office!J78</f>
        <v>Office</v>
      </c>
      <c r="BQ7" s="415" t="str">
        <f>Office!K78</f>
        <v>Office</v>
      </c>
      <c r="BR7" s="415" t="str">
        <f>Office!L78</f>
        <v>Office</v>
      </c>
      <c r="BS7" s="415" t="str">
        <f>Office!M78</f>
        <v>Office</v>
      </c>
      <c r="BT7" s="415" t="str">
        <f>Office!N78</f>
        <v>Office</v>
      </c>
      <c r="BU7" s="415" t="str">
        <f>Office!O78</f>
        <v>Office</v>
      </c>
      <c r="BV7" s="415" t="str">
        <f>Office!P78</f>
        <v>Office</v>
      </c>
      <c r="BW7" s="415" t="str">
        <f>Office!Q78</f>
        <v>Office</v>
      </c>
      <c r="BX7" s="415" t="str">
        <f>Office!R78</f>
        <v>Office</v>
      </c>
      <c r="BY7" s="415" t="str">
        <f>Office!S78</f>
        <v>Office</v>
      </c>
      <c r="BZ7" s="415" t="str">
        <f>Office!T78</f>
        <v>Office</v>
      </c>
      <c r="CA7" s="415" t="str">
        <f>Office!U78</f>
        <v>Office</v>
      </c>
      <c r="CB7" s="415" t="str">
        <f>Office!V78</f>
        <v>Office</v>
      </c>
      <c r="CC7" s="415" t="str">
        <f>Office!W78</f>
        <v>Office</v>
      </c>
    </row>
    <row r="8" spans="1:81" x14ac:dyDescent="0.2">
      <c r="A8" s="395">
        <v>4</v>
      </c>
      <c r="B8" s="415" t="s">
        <v>533</v>
      </c>
      <c r="C8" s="415">
        <f>'MF-New-Tall'!H79</f>
        <v>0</v>
      </c>
      <c r="D8" s="415">
        <f>'MF-New-Tall'!I79</f>
        <v>1</v>
      </c>
      <c r="E8" s="415">
        <f>'MF-New-Tall'!J79</f>
        <v>2</v>
      </c>
      <c r="F8" s="415">
        <f>'MF-New-Tall'!K79</f>
        <v>3</v>
      </c>
      <c r="G8" s="415">
        <f>'MF-New-Tall'!L79</f>
        <v>0</v>
      </c>
      <c r="H8" s="415">
        <f>'MF-New-Tall'!M79</f>
        <v>1</v>
      </c>
      <c r="I8" s="415">
        <f>'MF-New-Tall'!N79</f>
        <v>2</v>
      </c>
      <c r="J8" s="415">
        <f>'MF-New-Tall'!O79</f>
        <v>3</v>
      </c>
      <c r="K8" s="415">
        <f>'MF-New-Tall'!P79</f>
        <v>0</v>
      </c>
      <c r="L8" s="415">
        <f>'MF-New-Tall'!Q79</f>
        <v>1</v>
      </c>
      <c r="M8" s="415">
        <f>'MF-New-Tall'!R79</f>
        <v>2</v>
      </c>
      <c r="N8" s="415">
        <f>'MF-New-Tall'!S79</f>
        <v>3</v>
      </c>
      <c r="O8" s="415">
        <f>'MF-New-Tall'!T79</f>
        <v>0</v>
      </c>
      <c r="P8" s="415">
        <f>'MF-New-Tall'!U79</f>
        <v>1</v>
      </c>
      <c r="Q8" s="415">
        <f>'MF-New-Tall'!V79</f>
        <v>2</v>
      </c>
      <c r="R8" s="415">
        <f>'MF-Old-Tall'!H79</f>
        <v>0</v>
      </c>
      <c r="S8" s="415">
        <f>'MF-Old-Tall'!I79</f>
        <v>1</v>
      </c>
      <c r="T8" s="415">
        <f>'MF-Old-Tall'!J79</f>
        <v>2</v>
      </c>
      <c r="U8" s="415">
        <f>'MF-Old-Tall'!K79</f>
        <v>3</v>
      </c>
      <c r="V8" s="415">
        <f>'MF-Old-Tall'!L79</f>
        <v>0</v>
      </c>
      <c r="W8" s="415">
        <f>'MF-Old-Tall'!M79</f>
        <v>1</v>
      </c>
      <c r="X8" s="415">
        <f>'MF-Old-Tall'!N79</f>
        <v>2</v>
      </c>
      <c r="Y8" s="415">
        <f>'MF-Old-Tall'!O79</f>
        <v>3</v>
      </c>
      <c r="Z8" s="415">
        <f>'MF-Old-Tall'!P79</f>
        <v>0</v>
      </c>
      <c r="AA8" s="415">
        <f>'MF-Old-Tall'!Q79</f>
        <v>1</v>
      </c>
      <c r="AB8" s="415">
        <f>'MF-Old-Tall'!R79</f>
        <v>2</v>
      </c>
      <c r="AC8" s="415">
        <f>'MF-Old-Tall'!S79</f>
        <v>3</v>
      </c>
      <c r="AD8" s="415">
        <f>'MF-Old-Tall'!T79</f>
        <v>0</v>
      </c>
      <c r="AE8" s="415">
        <f>'MF-Old-Tall'!U79</f>
        <v>1</v>
      </c>
      <c r="AF8" s="415">
        <f>'MF-Old-Tall'!V79</f>
        <v>2</v>
      </c>
      <c r="AG8" s="415">
        <f>'MF-Old-Tall'!W79</f>
        <v>3</v>
      </c>
      <c r="AH8" s="415">
        <f>'MF-Short'!H79</f>
        <v>0</v>
      </c>
      <c r="AI8" s="415">
        <f>'MF-Short'!I79</f>
        <v>1</v>
      </c>
      <c r="AJ8" s="415">
        <f>'MF-Short'!J79</f>
        <v>2</v>
      </c>
      <c r="AK8" s="415">
        <f>'MF-Short'!K79</f>
        <v>3</v>
      </c>
      <c r="AL8" s="415">
        <f>'MF-Short'!L79</f>
        <v>0</v>
      </c>
      <c r="AM8" s="415">
        <f>'MF-Short'!M79</f>
        <v>1</v>
      </c>
      <c r="AN8" s="415">
        <f>'MF-Short'!N79</f>
        <v>2</v>
      </c>
      <c r="AO8" s="415">
        <f>'MF-Short'!O79</f>
        <v>3</v>
      </c>
      <c r="AP8" s="415">
        <f>'MF-Short'!P79</f>
        <v>0</v>
      </c>
      <c r="AQ8" s="415">
        <f>'MF-Short'!Q79</f>
        <v>1</v>
      </c>
      <c r="AR8" s="415">
        <f>'MF-Short'!R79</f>
        <v>2</v>
      </c>
      <c r="AS8" s="415">
        <f>'MF-Short'!S79</f>
        <v>3</v>
      </c>
      <c r="AT8" s="415">
        <f>'MF-Short'!T79</f>
        <v>0</v>
      </c>
      <c r="AU8" s="415">
        <f>'MF-Short'!U79</f>
        <v>1</v>
      </c>
      <c r="AV8" s="415">
        <f>'MF-Short'!V79</f>
        <v>2</v>
      </c>
      <c r="AW8" s="415">
        <f>'MF-Short'!W79</f>
        <v>3</v>
      </c>
      <c r="AX8" s="415">
        <f>'Hotel-Dorm-Lodging'!H79</f>
        <v>0</v>
      </c>
      <c r="AY8" s="415">
        <f>'Hotel-Dorm-Lodging'!I79</f>
        <v>1</v>
      </c>
      <c r="AZ8" s="415">
        <f>'Hotel-Dorm-Lodging'!J79</f>
        <v>2</v>
      </c>
      <c r="BA8" s="415">
        <f>'Hotel-Dorm-Lodging'!K79</f>
        <v>3</v>
      </c>
      <c r="BB8" s="415">
        <f>'Hotel-Dorm-Lodging'!L79</f>
        <v>0</v>
      </c>
      <c r="BC8" s="415">
        <f>'Hotel-Dorm-Lodging'!M79</f>
        <v>1</v>
      </c>
      <c r="BD8" s="415">
        <f>'Hotel-Dorm-Lodging'!N79</f>
        <v>2</v>
      </c>
      <c r="BE8" s="415">
        <f>'Hotel-Dorm-Lodging'!O79</f>
        <v>3</v>
      </c>
      <c r="BF8" s="415">
        <f>'Hotel-Dorm-Lodging'!P79</f>
        <v>0</v>
      </c>
      <c r="BG8" s="415">
        <f>'Hotel-Dorm-Lodging'!Q79</f>
        <v>1</v>
      </c>
      <c r="BH8" s="415">
        <f>'Hotel-Dorm-Lodging'!R79</f>
        <v>2</v>
      </c>
      <c r="BI8" s="415">
        <f>'Hotel-Dorm-Lodging'!S79</f>
        <v>3</v>
      </c>
      <c r="BJ8" s="415">
        <f>'Hotel-Dorm-Lodging'!T79</f>
        <v>0</v>
      </c>
      <c r="BK8" s="415">
        <f>'Hotel-Dorm-Lodging'!U79</f>
        <v>1</v>
      </c>
      <c r="BL8" s="415">
        <f>'Hotel-Dorm-Lodging'!V79</f>
        <v>2</v>
      </c>
      <c r="BM8" s="415">
        <f>'Hotel-Dorm-Lodging'!W79</f>
        <v>3</v>
      </c>
      <c r="BN8" s="415">
        <f>Office!H79</f>
        <v>0</v>
      </c>
      <c r="BO8" s="415">
        <f>Office!I79</f>
        <v>1</v>
      </c>
      <c r="BP8" s="415">
        <f>Office!J79</f>
        <v>2</v>
      </c>
      <c r="BQ8" s="415">
        <f>Office!K79</f>
        <v>3</v>
      </c>
      <c r="BR8" s="415">
        <f>Office!L79</f>
        <v>0</v>
      </c>
      <c r="BS8" s="415">
        <f>Office!M79</f>
        <v>1</v>
      </c>
      <c r="BT8" s="415">
        <f>Office!N79</f>
        <v>2</v>
      </c>
      <c r="BU8" s="415">
        <f>Office!O79</f>
        <v>3</v>
      </c>
      <c r="BV8" s="415">
        <f>Office!P79</f>
        <v>0</v>
      </c>
      <c r="BW8" s="415">
        <f>Office!Q79</f>
        <v>1</v>
      </c>
      <c r="BX8" s="415">
        <f>Office!R79</f>
        <v>2</v>
      </c>
      <c r="BY8" s="415">
        <f>Office!S79</f>
        <v>3</v>
      </c>
      <c r="BZ8" s="415">
        <f>Office!T79</f>
        <v>0</v>
      </c>
      <c r="CA8" s="415">
        <f>Office!U79</f>
        <v>1</v>
      </c>
      <c r="CB8" s="415">
        <f>Office!V79</f>
        <v>2</v>
      </c>
      <c r="CC8" s="415">
        <f>Office!W79</f>
        <v>3</v>
      </c>
    </row>
    <row r="9" spans="1:81" x14ac:dyDescent="0.2">
      <c r="A9" s="395">
        <v>5</v>
      </c>
      <c r="B9" s="415" t="s">
        <v>667</v>
      </c>
      <c r="C9" s="445">
        <f>'MF-New-Tall'!H80</f>
        <v>32</v>
      </c>
      <c r="D9" s="445">
        <f>'MF-New-Tall'!I80</f>
        <v>12.830307556941596</v>
      </c>
      <c r="E9" s="445">
        <f>'MF-New-Tall'!J80</f>
        <v>5.1321230227766383</v>
      </c>
      <c r="F9" s="445" t="e">
        <f>'MF-New-Tall'!K80</f>
        <v>#REF!</v>
      </c>
      <c r="G9" s="445" t="e">
        <f>'MF-New-Tall'!L80</f>
        <v>#REF!</v>
      </c>
      <c r="H9" s="445" t="e">
        <f>'MF-New-Tall'!M80</f>
        <v>#REF!</v>
      </c>
      <c r="I9" s="445" t="e">
        <f>'MF-New-Tall'!N80</f>
        <v>#REF!</v>
      </c>
      <c r="J9" s="445" t="e">
        <f>'MF-New-Tall'!O80</f>
        <v>#REF!</v>
      </c>
      <c r="K9" s="445" t="e">
        <f>'MF-New-Tall'!P80</f>
        <v>#REF!</v>
      </c>
      <c r="L9" s="445" t="e">
        <f>'MF-New-Tall'!Q80</f>
        <v>#REF!</v>
      </c>
      <c r="M9" s="445" t="e">
        <f>'MF-New-Tall'!R80</f>
        <v>#REF!</v>
      </c>
      <c r="N9" s="445" t="e">
        <f>'MF-New-Tall'!S80</f>
        <v>#REF!</v>
      </c>
      <c r="O9" s="445" t="e">
        <f>'MF-New-Tall'!T80</f>
        <v>#REF!</v>
      </c>
      <c r="P9" s="445" t="e">
        <f>'MF-New-Tall'!U80</f>
        <v>#REF!</v>
      </c>
      <c r="Q9" s="445" t="e">
        <f>'MF-New-Tall'!V80</f>
        <v>#REF!</v>
      </c>
      <c r="R9" s="445">
        <f>'MF-Old-Tall'!H80</f>
        <v>38.298412698412704</v>
      </c>
      <c r="S9" s="445">
        <f>'MF-Old-Tall'!I80</f>
        <v>18.755044273404337</v>
      </c>
      <c r="T9" s="445">
        <f>'MF-Old-Tall'!J80</f>
        <v>7.5020177093617342</v>
      </c>
      <c r="U9" s="445" t="e">
        <f>'MF-Old-Tall'!K80</f>
        <v>#REF!</v>
      </c>
      <c r="V9" s="445" t="e">
        <f>'MF-Old-Tall'!L80</f>
        <v>#REF!</v>
      </c>
      <c r="W9" s="445" t="e">
        <f>'MF-Old-Tall'!M80</f>
        <v>#REF!</v>
      </c>
      <c r="X9" s="445" t="e">
        <f>'MF-Old-Tall'!N80</f>
        <v>#REF!</v>
      </c>
      <c r="Y9" s="445" t="e">
        <f>'MF-Old-Tall'!O80</f>
        <v>#REF!</v>
      </c>
      <c r="Z9" s="445" t="e">
        <f>'MF-Old-Tall'!P80</f>
        <v>#REF!</v>
      </c>
      <c r="AA9" s="445" t="e">
        <f>'MF-Old-Tall'!Q80</f>
        <v>#REF!</v>
      </c>
      <c r="AB9" s="445" t="e">
        <f>'MF-Old-Tall'!R80</f>
        <v>#REF!</v>
      </c>
      <c r="AC9" s="445" t="e">
        <f>'MF-Old-Tall'!S80</f>
        <v>#REF!</v>
      </c>
      <c r="AD9" s="445" t="e">
        <f>'MF-Old-Tall'!T80</f>
        <v>#REF!</v>
      </c>
      <c r="AE9" s="445" t="e">
        <f>'MF-Old-Tall'!U80</f>
        <v>#REF!</v>
      </c>
      <c r="AF9" s="445" t="e">
        <f>'MF-Old-Tall'!V80</f>
        <v>#REF!</v>
      </c>
      <c r="AG9" s="445" t="e">
        <f>'MF-Old-Tall'!W80</f>
        <v>#REF!</v>
      </c>
      <c r="AH9" s="445">
        <f>'MF-Short'!H80</f>
        <v>29.871119766728714</v>
      </c>
      <c r="AI9" s="445">
        <f>'MF-Short'!I80</f>
        <v>20.843467553008598</v>
      </c>
      <c r="AJ9" s="445">
        <f>'MF-Short'!J80</f>
        <v>8.3373870212034387</v>
      </c>
      <c r="AK9" s="445" t="e">
        <f>'MF-Short'!K80</f>
        <v>#REF!</v>
      </c>
      <c r="AL9" s="445" t="e">
        <f>'MF-Short'!L80</f>
        <v>#REF!</v>
      </c>
      <c r="AM9" s="445" t="e">
        <f>'MF-Short'!M80</f>
        <v>#REF!</v>
      </c>
      <c r="AN9" s="445" t="e">
        <f>'MF-Short'!N80</f>
        <v>#REF!</v>
      </c>
      <c r="AO9" s="445" t="e">
        <f>'MF-Short'!O80</f>
        <v>#REF!</v>
      </c>
      <c r="AP9" s="445" t="e">
        <f>'MF-Short'!P80</f>
        <v>#REF!</v>
      </c>
      <c r="AQ9" s="445" t="e">
        <f>'MF-Short'!Q80</f>
        <v>#REF!</v>
      </c>
      <c r="AR9" s="445" t="e">
        <f>'MF-Short'!R80</f>
        <v>#REF!</v>
      </c>
      <c r="AS9" s="445" t="e">
        <f>'MF-Short'!S80</f>
        <v>#REF!</v>
      </c>
      <c r="AT9" s="445" t="e">
        <f>'MF-Short'!T80</f>
        <v>#REF!</v>
      </c>
      <c r="AU9" s="445" t="e">
        <f>'MF-Short'!U80</f>
        <v>#REF!</v>
      </c>
      <c r="AV9" s="445" t="e">
        <f>'MF-Short'!V80</f>
        <v>#REF!</v>
      </c>
      <c r="AW9" s="445" t="e">
        <f>'MF-Short'!W80</f>
        <v>#REF!</v>
      </c>
      <c r="AX9" s="445">
        <f>'Hotel-Dorm-Lodging'!H80</f>
        <v>32.315897435897433</v>
      </c>
      <c r="AY9" s="445">
        <f>'Hotel-Dorm-Lodging'!I80</f>
        <v>12.830307556941596</v>
      </c>
      <c r="AZ9" s="445">
        <f>'Hotel-Dorm-Lodging'!J80</f>
        <v>5.1321230227766383</v>
      </c>
      <c r="BA9" s="445" t="e">
        <f>'Hotel-Dorm-Lodging'!K80</f>
        <v>#REF!</v>
      </c>
      <c r="BB9" s="445" t="e">
        <f>'Hotel-Dorm-Lodging'!L80</f>
        <v>#REF!</v>
      </c>
      <c r="BC9" s="445" t="e">
        <f>'Hotel-Dorm-Lodging'!M80</f>
        <v>#REF!</v>
      </c>
      <c r="BD9" s="445" t="e">
        <f>'Hotel-Dorm-Lodging'!N80</f>
        <v>#REF!</v>
      </c>
      <c r="BE9" s="445" t="e">
        <f>'Hotel-Dorm-Lodging'!O80</f>
        <v>#REF!</v>
      </c>
      <c r="BF9" s="445" t="e">
        <f>'Hotel-Dorm-Lodging'!P80</f>
        <v>#REF!</v>
      </c>
      <c r="BG9" s="445" t="e">
        <f>'Hotel-Dorm-Lodging'!Q80</f>
        <v>#REF!</v>
      </c>
      <c r="BH9" s="445" t="e">
        <f>'Hotel-Dorm-Lodging'!R80</f>
        <v>#REF!</v>
      </c>
      <c r="BI9" s="445" t="e">
        <f>'Hotel-Dorm-Lodging'!S80</f>
        <v>#REF!</v>
      </c>
      <c r="BJ9" s="445" t="e">
        <f>'Hotel-Dorm-Lodging'!T80</f>
        <v>#REF!</v>
      </c>
      <c r="BK9" s="445" t="e">
        <f>'Hotel-Dorm-Lodging'!U80</f>
        <v>#REF!</v>
      </c>
      <c r="BL9" s="445" t="e">
        <f>'Hotel-Dorm-Lodging'!V80</f>
        <v>#REF!</v>
      </c>
      <c r="BM9" s="445" t="e">
        <f>'Hotel-Dorm-Lodging'!W80</f>
        <v>#REF!</v>
      </c>
      <c r="BN9" s="445">
        <f>Office!H80</f>
        <v>17.412675374939525</v>
      </c>
      <c r="BO9" s="445">
        <f>Office!I80</f>
        <v>14.054378326076442</v>
      </c>
      <c r="BP9" s="445">
        <f>Office!J80</f>
        <v>5.6217513304305768</v>
      </c>
      <c r="BQ9" s="445" t="e">
        <f>Office!K80</f>
        <v>#REF!</v>
      </c>
      <c r="BR9" s="445" t="e">
        <f>Office!L80</f>
        <v>#REF!</v>
      </c>
      <c r="BS9" s="445" t="e">
        <f>Office!M80</f>
        <v>#REF!</v>
      </c>
      <c r="BT9" s="445" t="e">
        <f>Office!N80</f>
        <v>#REF!</v>
      </c>
      <c r="BU9" s="445" t="e">
        <f>Office!O80</f>
        <v>#REF!</v>
      </c>
      <c r="BV9" s="445" t="e">
        <f>Office!P80</f>
        <v>#REF!</v>
      </c>
      <c r="BW9" s="445" t="e">
        <f>Office!Q80</f>
        <v>#REF!</v>
      </c>
      <c r="BX9" s="445" t="e">
        <f>Office!R80</f>
        <v>#REF!</v>
      </c>
      <c r="BY9" s="445" t="e">
        <f>Office!S80</f>
        <v>#REF!</v>
      </c>
      <c r="BZ9" s="445" t="e">
        <f>Office!T80</f>
        <v>#REF!</v>
      </c>
      <c r="CA9" s="445" t="e">
        <f>Office!U80</f>
        <v>#REF!</v>
      </c>
      <c r="CB9" s="445" t="e">
        <f>Office!V80</f>
        <v>#REF!</v>
      </c>
      <c r="CC9" s="445" t="e">
        <f>Office!W80</f>
        <v>#REF!</v>
      </c>
    </row>
    <row r="10" spans="1:81" x14ac:dyDescent="0.2">
      <c r="A10" s="395">
        <v>6</v>
      </c>
      <c r="B10" s="415" t="s">
        <v>668</v>
      </c>
      <c r="C10" s="445">
        <f>'MF-New-Tall'!H81</f>
        <v>5.8146715944279483</v>
      </c>
      <c r="D10" s="445">
        <f>'MF-New-Tall'!I81</f>
        <v>5.8146715944279483</v>
      </c>
      <c r="E10" s="445">
        <f>'MF-New-Tall'!J81</f>
        <v>5.8146715944279483</v>
      </c>
      <c r="F10" s="445">
        <f>'MF-New-Tall'!K81</f>
        <v>5.8146715944279483</v>
      </c>
      <c r="G10" s="445">
        <f>'MF-New-Tall'!L81</f>
        <v>5.8146715944279483</v>
      </c>
      <c r="H10" s="445">
        <f>'MF-New-Tall'!M81</f>
        <v>5.8146715944279483</v>
      </c>
      <c r="I10" s="445">
        <f>'MF-New-Tall'!N81</f>
        <v>5.8146715944279483</v>
      </c>
      <c r="J10" s="445">
        <f>'MF-New-Tall'!O81</f>
        <v>5.8146715944279483</v>
      </c>
      <c r="K10" s="445">
        <f>'MF-New-Tall'!P81</f>
        <v>5.8146715944279483</v>
      </c>
      <c r="L10" s="445">
        <f>'MF-New-Tall'!Q81</f>
        <v>5.8146715944279483</v>
      </c>
      <c r="M10" s="445">
        <f>'MF-New-Tall'!R81</f>
        <v>5.8146715944279483</v>
      </c>
      <c r="N10" s="445">
        <f>'MF-New-Tall'!S81</f>
        <v>5.8146715944279483</v>
      </c>
      <c r="O10" s="445">
        <f>'MF-New-Tall'!T81</f>
        <v>5.8146715944279483</v>
      </c>
      <c r="P10" s="445">
        <f>'MF-New-Tall'!U81</f>
        <v>5.8146715944279483</v>
      </c>
      <c r="Q10" s="445">
        <f>'MF-New-Tall'!V81</f>
        <v>5.8146715944279483</v>
      </c>
      <c r="R10" s="445">
        <f>'MF-Old-Tall'!H81</f>
        <v>5.8146715944279483</v>
      </c>
      <c r="S10" s="445">
        <f>'MF-Old-Tall'!I81</f>
        <v>5.8146715944279483</v>
      </c>
      <c r="T10" s="445">
        <f>'MF-Old-Tall'!J81</f>
        <v>5.8146715944279483</v>
      </c>
      <c r="U10" s="445">
        <f>'MF-Old-Tall'!K81</f>
        <v>5.8146715944279483</v>
      </c>
      <c r="V10" s="445">
        <f>'MF-Old-Tall'!L81</f>
        <v>5.8146715944279483</v>
      </c>
      <c r="W10" s="445">
        <f>'MF-Old-Tall'!M81</f>
        <v>5.8146715944279483</v>
      </c>
      <c r="X10" s="445">
        <f>'MF-Old-Tall'!N81</f>
        <v>5.8146715944279483</v>
      </c>
      <c r="Y10" s="445">
        <f>'MF-Old-Tall'!O81</f>
        <v>5.8146715944279483</v>
      </c>
      <c r="Z10" s="445">
        <f>'MF-Old-Tall'!P81</f>
        <v>5.8146715944279483</v>
      </c>
      <c r="AA10" s="445">
        <f>'MF-Old-Tall'!Q81</f>
        <v>5.8146715944279483</v>
      </c>
      <c r="AB10" s="445">
        <f>'MF-Old-Tall'!R81</f>
        <v>5.8146715944279483</v>
      </c>
      <c r="AC10" s="445">
        <f>'MF-Old-Tall'!S81</f>
        <v>5.8146715944279483</v>
      </c>
      <c r="AD10" s="445">
        <f>'MF-Old-Tall'!T81</f>
        <v>5.8146715944279483</v>
      </c>
      <c r="AE10" s="445">
        <f>'MF-Old-Tall'!U81</f>
        <v>5.8146715944279483</v>
      </c>
      <c r="AF10" s="445">
        <f>'MF-Old-Tall'!V81</f>
        <v>5.8146715944279483</v>
      </c>
      <c r="AG10" s="445">
        <f>'MF-Old-Tall'!W81</f>
        <v>5.8146715944279483</v>
      </c>
      <c r="AH10" s="445">
        <f>'MF-Short'!H81</f>
        <v>4.942470855263756</v>
      </c>
      <c r="AI10" s="445">
        <f>'MF-Short'!I81</f>
        <v>4.942470855263756</v>
      </c>
      <c r="AJ10" s="445">
        <f>'MF-Short'!J81</f>
        <v>4.942470855263756</v>
      </c>
      <c r="AK10" s="445">
        <f>'MF-Short'!K81</f>
        <v>4.942470855263756</v>
      </c>
      <c r="AL10" s="445">
        <f>'MF-Short'!L81</f>
        <v>4.942470855263756</v>
      </c>
      <c r="AM10" s="445">
        <f>'MF-Short'!M81</f>
        <v>4.942470855263756</v>
      </c>
      <c r="AN10" s="445">
        <f>'MF-Short'!N81</f>
        <v>4.942470855263756</v>
      </c>
      <c r="AO10" s="445">
        <f>'MF-Short'!O81</f>
        <v>4.942470855263756</v>
      </c>
      <c r="AP10" s="445">
        <f>'MF-Short'!P81</f>
        <v>4.942470855263756</v>
      </c>
      <c r="AQ10" s="445">
        <f>'MF-Short'!Q81</f>
        <v>4.942470855263756</v>
      </c>
      <c r="AR10" s="445">
        <f>'MF-Short'!R81</f>
        <v>4.942470855263756</v>
      </c>
      <c r="AS10" s="445">
        <f>'MF-Short'!S81</f>
        <v>4.942470855263756</v>
      </c>
      <c r="AT10" s="445">
        <f>'MF-Short'!T81</f>
        <v>4.942470855263756</v>
      </c>
      <c r="AU10" s="445">
        <f>'MF-Short'!U81</f>
        <v>4.942470855263756</v>
      </c>
      <c r="AV10" s="445">
        <f>'MF-Short'!V81</f>
        <v>4.942470855263756</v>
      </c>
      <c r="AW10" s="445">
        <f>'MF-Short'!W81</f>
        <v>4.942470855263756</v>
      </c>
      <c r="AX10" s="445">
        <f>'Hotel-Dorm-Lodging'!H81</f>
        <v>7.3320279332442864</v>
      </c>
      <c r="AY10" s="445">
        <f>'Hotel-Dorm-Lodging'!I81</f>
        <v>7.3320279332442864</v>
      </c>
      <c r="AZ10" s="445">
        <f>'Hotel-Dorm-Lodging'!J81</f>
        <v>7.3320279332442864</v>
      </c>
      <c r="BA10" s="445">
        <f>'Hotel-Dorm-Lodging'!K81</f>
        <v>7.3320279332442864</v>
      </c>
      <c r="BB10" s="445">
        <f>'Hotel-Dorm-Lodging'!L81</f>
        <v>7.3320279332442864</v>
      </c>
      <c r="BC10" s="445">
        <f>'Hotel-Dorm-Lodging'!M81</f>
        <v>7.3320279332442864</v>
      </c>
      <c r="BD10" s="445">
        <f>'Hotel-Dorm-Lodging'!N81</f>
        <v>7.3320279332442864</v>
      </c>
      <c r="BE10" s="445">
        <f>'Hotel-Dorm-Lodging'!O81</f>
        <v>7.3320279332442864</v>
      </c>
      <c r="BF10" s="445">
        <f>'Hotel-Dorm-Lodging'!P81</f>
        <v>7.3320279332442864</v>
      </c>
      <c r="BG10" s="445">
        <f>'Hotel-Dorm-Lodging'!Q81</f>
        <v>7.3320279332442864</v>
      </c>
      <c r="BH10" s="445">
        <f>'Hotel-Dorm-Lodging'!R81</f>
        <v>7.3320279332442864</v>
      </c>
      <c r="BI10" s="445">
        <f>'Hotel-Dorm-Lodging'!S81</f>
        <v>7.3320279332442864</v>
      </c>
      <c r="BJ10" s="445">
        <f>'Hotel-Dorm-Lodging'!T81</f>
        <v>7.3320279332442864</v>
      </c>
      <c r="BK10" s="445">
        <f>'Hotel-Dorm-Lodging'!U81</f>
        <v>7.3320279332442864</v>
      </c>
      <c r="BL10" s="445">
        <f>'Hotel-Dorm-Lodging'!V81</f>
        <v>7.3320279332442864</v>
      </c>
      <c r="BM10" s="445">
        <f>'Hotel-Dorm-Lodging'!W81</f>
        <v>7.3320279332442864</v>
      </c>
      <c r="BN10" s="445">
        <f>Office!H81</f>
        <v>0.91486343844834406</v>
      </c>
      <c r="BO10" s="445">
        <f>Office!I81</f>
        <v>0.91486343844834406</v>
      </c>
      <c r="BP10" s="445">
        <f>Office!J81</f>
        <v>0.91486343844834406</v>
      </c>
      <c r="BQ10" s="445">
        <f>Office!K81</f>
        <v>0.91486343844834406</v>
      </c>
      <c r="BR10" s="445">
        <f>Office!L81</f>
        <v>0.85017587417442564</v>
      </c>
      <c r="BS10" s="445">
        <f>Office!M81</f>
        <v>0.85017587417442564</v>
      </c>
      <c r="BT10" s="445">
        <f>Office!N81</f>
        <v>0.85017587417442564</v>
      </c>
      <c r="BU10" s="445">
        <f>Office!O81</f>
        <v>0.91486343844834406</v>
      </c>
      <c r="BV10" s="445">
        <f>Office!P81</f>
        <v>0.85017587417442564</v>
      </c>
      <c r="BW10" s="445">
        <f>Office!Q81</f>
        <v>0.85017587417442564</v>
      </c>
      <c r="BX10" s="445">
        <f>Office!R81</f>
        <v>0.85017587417442564</v>
      </c>
      <c r="BY10" s="445">
        <f>Office!S81</f>
        <v>0.91486343844834406</v>
      </c>
      <c r="BZ10" s="445">
        <f>Office!T81</f>
        <v>0.85017587417442564</v>
      </c>
      <c r="CA10" s="445">
        <f>Office!U81</f>
        <v>0.85017587417442564</v>
      </c>
      <c r="CB10" s="445">
        <f>Office!V81</f>
        <v>0.85017587417442564</v>
      </c>
      <c r="CC10" s="445">
        <f>Office!W81</f>
        <v>0.91486343844834406</v>
      </c>
    </row>
    <row r="11" spans="1:81" x14ac:dyDescent="0.2">
      <c r="A11" s="395">
        <v>7</v>
      </c>
      <c r="B11" s="415" t="s">
        <v>524</v>
      </c>
      <c r="C11" s="445">
        <f>'MF-New-Tall'!H82</f>
        <v>40</v>
      </c>
      <c r="D11" s="445">
        <f>'MF-New-Tall'!I82</f>
        <v>16.037884446176996</v>
      </c>
      <c r="E11" s="445">
        <f>'MF-New-Tall'!J82</f>
        <v>0</v>
      </c>
      <c r="F11" s="445">
        <f>'MF-New-Tall'!K82</f>
        <v>0</v>
      </c>
      <c r="G11" s="445">
        <f>'MF-New-Tall'!L82</f>
        <v>10</v>
      </c>
      <c r="H11" s="445" t="e">
        <f>'MF-New-Tall'!M82</f>
        <v>#REF!</v>
      </c>
      <c r="I11" s="445">
        <f>'MF-New-Tall'!N82</f>
        <v>0</v>
      </c>
      <c r="J11" s="445">
        <f>'MF-New-Tall'!O82</f>
        <v>0</v>
      </c>
      <c r="K11" s="445">
        <f>'MF-New-Tall'!P82</f>
        <v>10</v>
      </c>
      <c r="L11" s="445" t="e">
        <f>'MF-New-Tall'!Q82</f>
        <v>#REF!</v>
      </c>
      <c r="M11" s="445">
        <f>'MF-New-Tall'!R82</f>
        <v>0</v>
      </c>
      <c r="N11" s="445">
        <f>'MF-New-Tall'!S82</f>
        <v>0</v>
      </c>
      <c r="O11" s="445">
        <f>'MF-New-Tall'!T82</f>
        <v>10</v>
      </c>
      <c r="P11" s="445" t="e">
        <f>'MF-New-Tall'!U82</f>
        <v>#REF!</v>
      </c>
      <c r="Q11" s="445">
        <f>'MF-New-Tall'!V82</f>
        <v>0</v>
      </c>
      <c r="R11" s="445">
        <f>'MF-Old-Tall'!H82</f>
        <v>47.873015873015873</v>
      </c>
      <c r="S11" s="445">
        <f>'MF-Old-Tall'!I82</f>
        <v>23.443805341755418</v>
      </c>
      <c r="T11" s="445">
        <f>'MF-Old-Tall'!J82</f>
        <v>0</v>
      </c>
      <c r="U11" s="445">
        <f>'MF-Old-Tall'!K82</f>
        <v>0</v>
      </c>
      <c r="V11" s="445">
        <f>'MF-Old-Tall'!L82</f>
        <v>15</v>
      </c>
      <c r="W11" s="445" t="e">
        <f>'MF-Old-Tall'!M82</f>
        <v>#REF!</v>
      </c>
      <c r="X11" s="445">
        <f>'MF-Old-Tall'!N82</f>
        <v>0</v>
      </c>
      <c r="Y11" s="445">
        <f>'MF-Old-Tall'!O82</f>
        <v>0</v>
      </c>
      <c r="Z11" s="445">
        <f>'MF-Old-Tall'!P82</f>
        <v>15</v>
      </c>
      <c r="AA11" s="445" t="e">
        <f>'MF-Old-Tall'!Q82</f>
        <v>#REF!</v>
      </c>
      <c r="AB11" s="445">
        <f>'MF-Old-Tall'!R82</f>
        <v>0</v>
      </c>
      <c r="AC11" s="445">
        <f>'MF-Old-Tall'!S82</f>
        <v>0</v>
      </c>
      <c r="AD11" s="445">
        <f>'MF-Old-Tall'!T82</f>
        <v>10</v>
      </c>
      <c r="AE11" s="445" t="e">
        <f>'MF-Old-Tall'!U82</f>
        <v>#REF!</v>
      </c>
      <c r="AF11" s="445">
        <f>'MF-Old-Tall'!V82</f>
        <v>0</v>
      </c>
      <c r="AG11" s="445">
        <f>'MF-Old-Tall'!W82</f>
        <v>0</v>
      </c>
      <c r="AH11" s="445">
        <f>'MF-Short'!H82</f>
        <v>37.338899708410892</v>
      </c>
      <c r="AI11" s="445">
        <f>'MF-Short'!I82</f>
        <v>26.054334441260746</v>
      </c>
      <c r="AJ11" s="445">
        <f>'MF-Short'!J82</f>
        <v>0</v>
      </c>
      <c r="AK11" s="445">
        <f>'MF-Short'!K82</f>
        <v>0</v>
      </c>
      <c r="AL11" s="445">
        <f>'MF-Short'!L82</f>
        <v>10</v>
      </c>
      <c r="AM11" s="445" t="e">
        <f>'MF-Short'!M82</f>
        <v>#REF!</v>
      </c>
      <c r="AN11" s="445">
        <f>'MF-Short'!N82</f>
        <v>0</v>
      </c>
      <c r="AO11" s="445">
        <f>'MF-Short'!O82</f>
        <v>0</v>
      </c>
      <c r="AP11" s="445">
        <f>'MF-Short'!P82</f>
        <v>10</v>
      </c>
      <c r="AQ11" s="445" t="e">
        <f>'MF-Short'!Q82</f>
        <v>#REF!</v>
      </c>
      <c r="AR11" s="445">
        <f>'MF-Short'!R82</f>
        <v>0</v>
      </c>
      <c r="AS11" s="445">
        <f>'MF-Short'!S82</f>
        <v>0</v>
      </c>
      <c r="AT11" s="445">
        <f>'MF-Short'!T82</f>
        <v>10</v>
      </c>
      <c r="AU11" s="445" t="e">
        <f>'MF-Short'!U82</f>
        <v>#REF!</v>
      </c>
      <c r="AV11" s="445">
        <f>'MF-Short'!V82</f>
        <v>0</v>
      </c>
      <c r="AW11" s="445">
        <f>'MF-Short'!W82</f>
        <v>0</v>
      </c>
      <c r="AX11" s="445">
        <f>'Hotel-Dorm-Lodging'!H82</f>
        <v>40.394871794871797</v>
      </c>
      <c r="AY11" s="445">
        <f>'Hotel-Dorm-Lodging'!I82</f>
        <v>16.037884446176996</v>
      </c>
      <c r="AZ11" s="445">
        <f>'Hotel-Dorm-Lodging'!J82</f>
        <v>0</v>
      </c>
      <c r="BA11" s="445">
        <f>'Hotel-Dorm-Lodging'!K82</f>
        <v>0</v>
      </c>
      <c r="BB11" s="445">
        <f>'Hotel-Dorm-Lodging'!L82</f>
        <v>9</v>
      </c>
      <c r="BC11" s="445" t="e">
        <f>'Hotel-Dorm-Lodging'!M82</f>
        <v>#REF!</v>
      </c>
      <c r="BD11" s="445">
        <f>'Hotel-Dorm-Lodging'!N82</f>
        <v>0</v>
      </c>
      <c r="BE11" s="445">
        <f>'Hotel-Dorm-Lodging'!O82</f>
        <v>0</v>
      </c>
      <c r="BF11" s="445">
        <f>'Hotel-Dorm-Lodging'!P82</f>
        <v>9</v>
      </c>
      <c r="BG11" s="445" t="e">
        <f>'Hotel-Dorm-Lodging'!Q82</f>
        <v>#REF!</v>
      </c>
      <c r="BH11" s="445">
        <f>'Hotel-Dorm-Lodging'!R82</f>
        <v>0</v>
      </c>
      <c r="BI11" s="445">
        <f>'Hotel-Dorm-Lodging'!S82</f>
        <v>0</v>
      </c>
      <c r="BJ11" s="445">
        <f>'Hotel-Dorm-Lodging'!T82</f>
        <v>9</v>
      </c>
      <c r="BK11" s="445" t="e">
        <f>'Hotel-Dorm-Lodging'!U82</f>
        <v>#REF!</v>
      </c>
      <c r="BL11" s="445">
        <f>'Hotel-Dorm-Lodging'!V82</f>
        <v>0</v>
      </c>
      <c r="BM11" s="445">
        <f>'Hotel-Dorm-Lodging'!W82</f>
        <v>0</v>
      </c>
      <c r="BN11" s="445">
        <f>Office!H82</f>
        <v>21.765844218674406</v>
      </c>
      <c r="BO11" s="445">
        <f>Office!I82</f>
        <v>17.567972907595554</v>
      </c>
      <c r="BP11" s="445">
        <f>Office!J82</f>
        <v>0</v>
      </c>
      <c r="BQ11" s="445">
        <f>Office!K82</f>
        <v>0</v>
      </c>
      <c r="BR11" s="445">
        <f>Office!L82</f>
        <v>10</v>
      </c>
      <c r="BS11" s="445" t="e">
        <f>Office!M82</f>
        <v>#REF!</v>
      </c>
      <c r="BT11" s="445">
        <f>Office!N82</f>
        <v>0</v>
      </c>
      <c r="BU11" s="445">
        <f>Office!O82</f>
        <v>0</v>
      </c>
      <c r="BV11" s="445">
        <f>Office!P82</f>
        <v>10</v>
      </c>
      <c r="BW11" s="445" t="e">
        <f>Office!Q82</f>
        <v>#REF!</v>
      </c>
      <c r="BX11" s="445">
        <f>Office!R82</f>
        <v>0</v>
      </c>
      <c r="BY11" s="445">
        <f>Office!S82</f>
        <v>0</v>
      </c>
      <c r="BZ11" s="445">
        <f>Office!T82</f>
        <v>10</v>
      </c>
      <c r="CA11" s="445" t="e">
        <f>Office!U82</f>
        <v>#REF!</v>
      </c>
      <c r="CB11" s="445">
        <f>Office!V82</f>
        <v>0</v>
      </c>
      <c r="CC11" s="445">
        <f>Office!W82</f>
        <v>0</v>
      </c>
    </row>
    <row r="12" spans="1:81" x14ac:dyDescent="0.2">
      <c r="A12" s="395">
        <v>8</v>
      </c>
      <c r="B12" s="415" t="s">
        <v>525</v>
      </c>
      <c r="C12" s="445">
        <f>'MF-New-Tall'!H83</f>
        <v>17.767052094085397</v>
      </c>
      <c r="D12" s="445">
        <f>'MF-New-Tall'!I83</f>
        <v>14.213641675268319</v>
      </c>
      <c r="E12" s="445">
        <f>'MF-New-Tall'!J83</f>
        <v>0</v>
      </c>
      <c r="F12" s="445">
        <f>'MF-New-Tall'!K83</f>
        <v>0</v>
      </c>
      <c r="G12" s="445">
        <f>'MF-New-Tall'!L83</f>
        <v>17.767052094085397</v>
      </c>
      <c r="H12" s="445">
        <f>'MF-New-Tall'!M83</f>
        <v>14.213641675268319</v>
      </c>
      <c r="I12" s="445">
        <f>'MF-New-Tall'!N83</f>
        <v>0</v>
      </c>
      <c r="J12" s="445">
        <f>'MF-New-Tall'!O83</f>
        <v>0</v>
      </c>
      <c r="K12" s="445">
        <f>'MF-New-Tall'!P83</f>
        <v>17.767052094085397</v>
      </c>
      <c r="L12" s="445">
        <f>'MF-New-Tall'!Q83</f>
        <v>14.213641675268319</v>
      </c>
      <c r="M12" s="445">
        <f>'MF-New-Tall'!R83</f>
        <v>0</v>
      </c>
      <c r="N12" s="445">
        <f>'MF-New-Tall'!S83</f>
        <v>0</v>
      </c>
      <c r="O12" s="445">
        <f>'MF-New-Tall'!T83</f>
        <v>17.767052094085397</v>
      </c>
      <c r="P12" s="445">
        <f>'MF-New-Tall'!U83</f>
        <v>14.213641675268319</v>
      </c>
      <c r="Q12" s="445">
        <f>'MF-New-Tall'!V83</f>
        <v>0</v>
      </c>
      <c r="R12" s="445">
        <f>'MF-Old-Tall'!H83</f>
        <v>17.767052094085397</v>
      </c>
      <c r="S12" s="445">
        <f>'MF-Old-Tall'!I83</f>
        <v>14.213641675268319</v>
      </c>
      <c r="T12" s="445">
        <f>'MF-Old-Tall'!J83</f>
        <v>0</v>
      </c>
      <c r="U12" s="445">
        <f>'MF-Old-Tall'!K83</f>
        <v>0</v>
      </c>
      <c r="V12" s="445">
        <f>'MF-Old-Tall'!L83</f>
        <v>17.767052094085397</v>
      </c>
      <c r="W12" s="445">
        <f>'MF-Old-Tall'!M83</f>
        <v>14.213641675268319</v>
      </c>
      <c r="X12" s="445">
        <f>'MF-Old-Tall'!N83</f>
        <v>0</v>
      </c>
      <c r="Y12" s="445">
        <f>'MF-Old-Tall'!O83</f>
        <v>0</v>
      </c>
      <c r="Z12" s="445">
        <f>'MF-Old-Tall'!P83</f>
        <v>17.767052094085397</v>
      </c>
      <c r="AA12" s="445">
        <f>'MF-Old-Tall'!Q83</f>
        <v>14.213641675268319</v>
      </c>
      <c r="AB12" s="445">
        <f>'MF-Old-Tall'!R83</f>
        <v>0</v>
      </c>
      <c r="AC12" s="445">
        <f>'MF-Old-Tall'!S83</f>
        <v>0</v>
      </c>
      <c r="AD12" s="445">
        <f>'MF-Old-Tall'!T83</f>
        <v>17.767052094085397</v>
      </c>
      <c r="AE12" s="445">
        <f>'MF-Old-Tall'!U83</f>
        <v>14.213641675268319</v>
      </c>
      <c r="AF12" s="445">
        <f>'MF-Old-Tall'!V83</f>
        <v>0</v>
      </c>
      <c r="AG12" s="445">
        <f>'MF-Old-Tall'!W83</f>
        <v>0</v>
      </c>
      <c r="AH12" s="445">
        <f>'MF-Short'!H83</f>
        <v>15.101994279972587</v>
      </c>
      <c r="AI12" s="445">
        <f>'MF-Short'!I83</f>
        <v>12.081595423978071</v>
      </c>
      <c r="AJ12" s="445">
        <f>'MF-Short'!J83</f>
        <v>0</v>
      </c>
      <c r="AK12" s="445">
        <f>'MF-Short'!K83</f>
        <v>0</v>
      </c>
      <c r="AL12" s="445">
        <f>'MF-Short'!L83</f>
        <v>15.101994279972587</v>
      </c>
      <c r="AM12" s="445">
        <f>'MF-Short'!M83</f>
        <v>12.081595423978071</v>
      </c>
      <c r="AN12" s="445">
        <f>'MF-Short'!N83</f>
        <v>0</v>
      </c>
      <c r="AO12" s="445">
        <f>'MF-Short'!O83</f>
        <v>0</v>
      </c>
      <c r="AP12" s="445">
        <f>'MF-Short'!P83</f>
        <v>15.101994279972587</v>
      </c>
      <c r="AQ12" s="445">
        <f>'MF-Short'!Q83</f>
        <v>12.081595423978071</v>
      </c>
      <c r="AR12" s="445">
        <f>'MF-Short'!R83</f>
        <v>0</v>
      </c>
      <c r="AS12" s="445">
        <f>'MF-Short'!S83</f>
        <v>0</v>
      </c>
      <c r="AT12" s="445">
        <f>'MF-Short'!T83</f>
        <v>15.101994279972587</v>
      </c>
      <c r="AU12" s="445">
        <f>'MF-Short'!U83</f>
        <v>12.081595423978071</v>
      </c>
      <c r="AV12" s="445">
        <f>'MF-Short'!V83</f>
        <v>0</v>
      </c>
      <c r="AW12" s="445">
        <f>'MF-Short'!W83</f>
        <v>0</v>
      </c>
      <c r="AX12" s="445">
        <f>'Hotel-Dorm-Lodging'!H83</f>
        <v>22.403418684913099</v>
      </c>
      <c r="AY12" s="445">
        <f>'Hotel-Dorm-Lodging'!I83</f>
        <v>17.922734947930479</v>
      </c>
      <c r="AZ12" s="445">
        <f>'Hotel-Dorm-Lodging'!J83</f>
        <v>0</v>
      </c>
      <c r="BA12" s="445">
        <f>'Hotel-Dorm-Lodging'!K83</f>
        <v>0</v>
      </c>
      <c r="BB12" s="445">
        <f>'Hotel-Dorm-Lodging'!L83</f>
        <v>22.403418684913099</v>
      </c>
      <c r="BC12" s="445">
        <f>'Hotel-Dorm-Lodging'!M83</f>
        <v>17.922734947930479</v>
      </c>
      <c r="BD12" s="445">
        <f>'Hotel-Dorm-Lodging'!N83</f>
        <v>0</v>
      </c>
      <c r="BE12" s="445">
        <f>'Hotel-Dorm-Lodging'!O83</f>
        <v>0</v>
      </c>
      <c r="BF12" s="445">
        <f>'Hotel-Dorm-Lodging'!P83</f>
        <v>22.403418684913099</v>
      </c>
      <c r="BG12" s="445">
        <f>'Hotel-Dorm-Lodging'!Q83</f>
        <v>17.922734947930479</v>
      </c>
      <c r="BH12" s="445">
        <f>'Hotel-Dorm-Lodging'!R83</f>
        <v>0</v>
      </c>
      <c r="BI12" s="445">
        <f>'Hotel-Dorm-Lodging'!S83</f>
        <v>0</v>
      </c>
      <c r="BJ12" s="445">
        <f>'Hotel-Dorm-Lodging'!T83</f>
        <v>22.403418684913099</v>
      </c>
      <c r="BK12" s="445">
        <f>'Hotel-Dorm-Lodging'!U83</f>
        <v>17.922734947930479</v>
      </c>
      <c r="BL12" s="445">
        <f>'Hotel-Dorm-Lodging'!V83</f>
        <v>0</v>
      </c>
      <c r="BM12" s="445">
        <f>'Hotel-Dorm-Lodging'!W83</f>
        <v>0</v>
      </c>
      <c r="BN12" s="445">
        <f>Office!H83</f>
        <v>2.5977596155329672</v>
      </c>
      <c r="BO12" s="445">
        <f>Office!I83</f>
        <v>2.2363328495403967</v>
      </c>
      <c r="BP12" s="445">
        <f>Office!J83</f>
        <v>0</v>
      </c>
      <c r="BQ12" s="445">
        <f>Office!K83</f>
        <v>0</v>
      </c>
      <c r="BR12" s="445">
        <f>Office!L83</f>
        <v>2.5977596155329672</v>
      </c>
      <c r="BS12" s="445">
        <f>Office!M83</f>
        <v>2.0782076924263739</v>
      </c>
      <c r="BT12" s="445">
        <f>Office!N83</f>
        <v>0</v>
      </c>
      <c r="BU12" s="445">
        <f>Office!O83</f>
        <v>0</v>
      </c>
      <c r="BV12" s="445">
        <f>Office!P83</f>
        <v>2.5977596155329672</v>
      </c>
      <c r="BW12" s="445">
        <f>Office!Q83</f>
        <v>2.0782076924263739</v>
      </c>
      <c r="BX12" s="445">
        <f>Office!R83</f>
        <v>0</v>
      </c>
      <c r="BY12" s="445">
        <f>Office!S83</f>
        <v>0</v>
      </c>
      <c r="BZ12" s="445">
        <f>Office!T83</f>
        <v>2.5977596155329672</v>
      </c>
      <c r="CA12" s="445">
        <f>Office!U83</f>
        <v>2.0782076924263739</v>
      </c>
      <c r="CB12" s="445">
        <f>Office!V83</f>
        <v>0</v>
      </c>
      <c r="CC12" s="445">
        <f>Office!W83</f>
        <v>0</v>
      </c>
    </row>
    <row r="13" spans="1:81" x14ac:dyDescent="0.2">
      <c r="A13" s="395">
        <v>9</v>
      </c>
      <c r="B13" s="415" t="s">
        <v>528</v>
      </c>
      <c r="C13" s="445">
        <f>'MF-New-Tall'!H84</f>
        <v>4.7089743589743591</v>
      </c>
      <c r="D13" s="445">
        <f>'MF-New-Tall'!I84</f>
        <v>4.1916666666666664</v>
      </c>
      <c r="E13" s="445">
        <f>'MF-New-Tall'!J84</f>
        <v>2.9341666666666661</v>
      </c>
      <c r="F13" s="445" t="e">
        <f>'MF-New-Tall'!K84</f>
        <v>#REF!</v>
      </c>
      <c r="G13" s="445">
        <f>'MF-New-Tall'!L84</f>
        <v>4.7089743589743591</v>
      </c>
      <c r="H13" s="445">
        <f>'MF-New-Tall'!M84</f>
        <v>4.1916666666666664</v>
      </c>
      <c r="I13" s="445">
        <f>'MF-New-Tall'!N84</f>
        <v>2.9341666666666661</v>
      </c>
      <c r="J13" s="445" t="e">
        <f>'MF-New-Tall'!O84</f>
        <v>#REF!</v>
      </c>
      <c r="K13" s="445">
        <f>'MF-New-Tall'!P84</f>
        <v>10</v>
      </c>
      <c r="L13" s="445">
        <f>'MF-New-Tall'!Q84</f>
        <v>8.9014429621562758</v>
      </c>
      <c r="M13" s="445">
        <f>'MF-New-Tall'!R84</f>
        <v>6.2310100735093927</v>
      </c>
      <c r="N13" s="445" t="e">
        <f>'MF-New-Tall'!S84</f>
        <v>#REF!</v>
      </c>
      <c r="O13" s="445">
        <f>'MF-New-Tall'!T84</f>
        <v>4.7089743589743591</v>
      </c>
      <c r="P13" s="445">
        <f>'MF-New-Tall'!U84</f>
        <v>4.1916666666666664</v>
      </c>
      <c r="Q13" s="445">
        <f>'MF-New-Tall'!V84</f>
        <v>2.9341666666666661</v>
      </c>
      <c r="R13" s="445">
        <f>'MF-Old-Tall'!H84</f>
        <v>3.4444444444444446</v>
      </c>
      <c r="S13" s="445">
        <f>'MF-Old-Tall'!I84</f>
        <v>3.5809523809523807</v>
      </c>
      <c r="T13" s="445">
        <f>'MF-Old-Tall'!J84</f>
        <v>2.5253968253968253</v>
      </c>
      <c r="U13" s="445" t="e">
        <f>'MF-Old-Tall'!K84</f>
        <v>#REF!</v>
      </c>
      <c r="V13" s="445">
        <f>'MF-Old-Tall'!L84</f>
        <v>3</v>
      </c>
      <c r="W13" s="445">
        <f>'MF-Old-Tall'!M84</f>
        <v>3.5809523809523807</v>
      </c>
      <c r="X13" s="445">
        <f>'MF-Old-Tall'!N84</f>
        <v>2.5253968253968253</v>
      </c>
      <c r="Y13" s="445" t="e">
        <f>'MF-Old-Tall'!O84</f>
        <v>#REF!</v>
      </c>
      <c r="Z13" s="445">
        <f>'MF-Old-Tall'!P84</f>
        <v>10</v>
      </c>
      <c r="AA13" s="445">
        <f>'MF-Old-Tall'!Q84</f>
        <v>11.936507936507937</v>
      </c>
      <c r="AB13" s="445">
        <f>'MF-Old-Tall'!R84</f>
        <v>8.4179894179894195</v>
      </c>
      <c r="AC13" s="445" t="e">
        <f>'MF-Old-Tall'!S84</f>
        <v>#REF!</v>
      </c>
      <c r="AD13" s="445">
        <f>'MF-Old-Tall'!T84</f>
        <v>3</v>
      </c>
      <c r="AE13" s="445">
        <f>'MF-Old-Tall'!U84</f>
        <v>3.5809523809523807</v>
      </c>
      <c r="AF13" s="445">
        <f>'MF-Old-Tall'!V84</f>
        <v>2.5253968253968253</v>
      </c>
      <c r="AG13" s="445" t="e">
        <f>'MF-Old-Tall'!W84</f>
        <v>#REF!</v>
      </c>
      <c r="AH13" s="445">
        <f>'MF-Short'!H84</f>
        <v>4.26139726056876</v>
      </c>
      <c r="AI13" s="445">
        <f>'MF-Short'!I84</f>
        <v>3.9715835117657816</v>
      </c>
      <c r="AJ13" s="445">
        <f>'MF-Short'!J84</f>
        <v>2.7801084582360471</v>
      </c>
      <c r="AK13" s="445" t="e">
        <f>'MF-Short'!K84</f>
        <v>#REF!</v>
      </c>
      <c r="AL13" s="445">
        <f>'MF-Short'!L84</f>
        <v>3</v>
      </c>
      <c r="AM13" s="445">
        <f>'MF-Short'!M84</f>
        <v>3.9715835117657816</v>
      </c>
      <c r="AN13" s="445">
        <f>'MF-Short'!N84</f>
        <v>2.7801084582360471</v>
      </c>
      <c r="AO13" s="445" t="e">
        <f>'MF-Short'!O84</f>
        <v>#REF!</v>
      </c>
      <c r="AP13" s="445">
        <f>'MF-Short'!P84</f>
        <v>10</v>
      </c>
      <c r="AQ13" s="445">
        <f>'MF-Short'!Q84</f>
        <v>13.238611705885939</v>
      </c>
      <c r="AR13" s="445">
        <f>'MF-Short'!R84</f>
        <v>9.2670281941201562</v>
      </c>
      <c r="AS13" s="445" t="e">
        <f>'MF-Short'!S84</f>
        <v>#REF!</v>
      </c>
      <c r="AT13" s="445">
        <f>'MF-Short'!T84</f>
        <v>3</v>
      </c>
      <c r="AU13" s="445">
        <f>'MF-Short'!U84</f>
        <v>3.9715835117657816</v>
      </c>
      <c r="AV13" s="445">
        <f>'MF-Short'!V84</f>
        <v>2.7801084582360471</v>
      </c>
      <c r="AW13" s="445" t="e">
        <f>'MF-Short'!W84</f>
        <v>#REF!</v>
      </c>
      <c r="AX13" s="445">
        <f>'Hotel-Dorm-Lodging'!H84</f>
        <v>4.7089743589743591</v>
      </c>
      <c r="AY13" s="445">
        <f>'Hotel-Dorm-Lodging'!I84</f>
        <v>4.1916666666666664</v>
      </c>
      <c r="AZ13" s="445">
        <f>'Hotel-Dorm-Lodging'!J84</f>
        <v>1.8966666666666665</v>
      </c>
      <c r="BA13" s="445" t="e">
        <f>'Hotel-Dorm-Lodging'!K84</f>
        <v>#REF!</v>
      </c>
      <c r="BB13" s="445">
        <f>'Hotel-Dorm-Lodging'!L84</f>
        <v>3</v>
      </c>
      <c r="BC13" s="445">
        <f>'Hotel-Dorm-Lodging'!M84</f>
        <v>4.1916666666666664</v>
      </c>
      <c r="BD13" s="445">
        <f>'Hotel-Dorm-Lodging'!N84</f>
        <v>1.8966666666666665</v>
      </c>
      <c r="BE13" s="445" t="e">
        <f>'Hotel-Dorm-Lodging'!O84</f>
        <v>#REF!</v>
      </c>
      <c r="BF13" s="445">
        <f>'Hotel-Dorm-Lodging'!P84</f>
        <v>10</v>
      </c>
      <c r="BG13" s="445">
        <f>'Hotel-Dorm-Lodging'!Q84</f>
        <v>13.972222222222221</v>
      </c>
      <c r="BH13" s="445">
        <f>'Hotel-Dorm-Lodging'!R84</f>
        <v>6.3222222222222211</v>
      </c>
      <c r="BI13" s="445" t="e">
        <f>'Hotel-Dorm-Lodging'!S84</f>
        <v>#REF!</v>
      </c>
      <c r="BJ13" s="445">
        <f>'Hotel-Dorm-Lodging'!T84</f>
        <v>3</v>
      </c>
      <c r="BK13" s="445">
        <f>'Hotel-Dorm-Lodging'!U84</f>
        <v>4.1916666666666664</v>
      </c>
      <c r="BL13" s="445">
        <f>'Hotel-Dorm-Lodging'!V84</f>
        <v>1.8966666666666665</v>
      </c>
      <c r="BM13" s="445" t="e">
        <f>'Hotel-Dorm-Lodging'!W84</f>
        <v>#REF!</v>
      </c>
      <c r="BN13" s="445">
        <f>Office!H84</f>
        <v>8.0865989356555392</v>
      </c>
      <c r="BO13" s="445">
        <f>Office!I84</f>
        <v>7.961490082244798</v>
      </c>
      <c r="BP13" s="445">
        <f>Office!J84</f>
        <v>5.5730430575713585</v>
      </c>
      <c r="BQ13" s="445" t="e">
        <f>Office!K84</f>
        <v>#REF!</v>
      </c>
      <c r="BR13" s="445">
        <f>Office!L84</f>
        <v>8</v>
      </c>
      <c r="BS13" s="445">
        <f>Office!M84</f>
        <v>7.961490082244798</v>
      </c>
      <c r="BT13" s="445">
        <f>Office!N84</f>
        <v>5.5730430575713585</v>
      </c>
      <c r="BU13" s="445" t="e">
        <f>Office!O84</f>
        <v>#REF!</v>
      </c>
      <c r="BV13" s="445">
        <f>Office!P84</f>
        <v>18</v>
      </c>
      <c r="BW13" s="445">
        <f>Office!Q84</f>
        <v>17.913352685050796</v>
      </c>
      <c r="BX13" s="445">
        <f>Office!R84</f>
        <v>12.539346879535557</v>
      </c>
      <c r="BY13" s="445" t="e">
        <f>Office!S84</f>
        <v>#REF!</v>
      </c>
      <c r="BZ13" s="445">
        <f>Office!T84</f>
        <v>18</v>
      </c>
      <c r="CA13" s="445">
        <f>Office!U84</f>
        <v>7.961490082244798</v>
      </c>
      <c r="CB13" s="445">
        <f>Office!V84</f>
        <v>5.5730430575713585</v>
      </c>
      <c r="CC13" s="445" t="e">
        <f>Office!W84</f>
        <v>#REF!</v>
      </c>
    </row>
    <row r="14" spans="1:81" x14ac:dyDescent="0.2">
      <c r="A14" s="395">
        <v>10</v>
      </c>
      <c r="B14" s="415" t="s">
        <v>527</v>
      </c>
      <c r="C14" s="445">
        <f>'MF-New-Tall'!H85</f>
        <v>16.756410256410255</v>
      </c>
      <c r="D14" s="445">
        <f>'MF-New-Tall'!I85</f>
        <v>12.826666666666668</v>
      </c>
      <c r="E14" s="445">
        <f>'MF-New-Tall'!J85</f>
        <v>12.826666666666668</v>
      </c>
      <c r="F14" s="445">
        <f>'MF-New-Tall'!K85</f>
        <v>12.826666666666668</v>
      </c>
      <c r="G14" s="445">
        <f>'MF-New-Tall'!L85</f>
        <v>12</v>
      </c>
      <c r="H14" s="445">
        <f>'MF-New-Tall'!M85</f>
        <v>12.826666666666668</v>
      </c>
      <c r="I14" s="445">
        <f>'MF-New-Tall'!N85</f>
        <v>12.826666666666668</v>
      </c>
      <c r="J14" s="445">
        <f>'MF-New-Tall'!O85</f>
        <v>12.826666666666668</v>
      </c>
      <c r="K14" s="445">
        <f>'MF-New-Tall'!P85</f>
        <v>12</v>
      </c>
      <c r="L14" s="445">
        <f>'MF-New-Tall'!Q85</f>
        <v>12.826666666666668</v>
      </c>
      <c r="M14" s="445">
        <f>'MF-New-Tall'!R85</f>
        <v>12.826666666666668</v>
      </c>
      <c r="N14" s="445">
        <f>'MF-New-Tall'!S85</f>
        <v>12.826666666666668</v>
      </c>
      <c r="O14" s="445">
        <f>'MF-New-Tall'!T85</f>
        <v>12</v>
      </c>
      <c r="P14" s="445">
        <f>'MF-New-Tall'!U85</f>
        <v>12.826666666666668</v>
      </c>
      <c r="Q14" s="445">
        <f>'MF-New-Tall'!V85</f>
        <v>12.826666666666668</v>
      </c>
      <c r="R14" s="445">
        <f>'MF-Old-Tall'!H85</f>
        <v>12</v>
      </c>
      <c r="S14" s="445">
        <f>'MF-Old-Tall'!I85</f>
        <v>7.2305555555555561</v>
      </c>
      <c r="T14" s="445">
        <f>'MF-Old-Tall'!J85</f>
        <v>8.3019841269841272</v>
      </c>
      <c r="U14" s="445">
        <f>'MF-Old-Tall'!K85</f>
        <v>8.238492063492064</v>
      </c>
      <c r="V14" s="445">
        <f>'MF-Old-Tall'!L85</f>
        <v>12</v>
      </c>
      <c r="W14" s="445">
        <f>'MF-Old-Tall'!M85</f>
        <v>7.2305555555555561</v>
      </c>
      <c r="X14" s="445">
        <f>'MF-Old-Tall'!N85</f>
        <v>8.3019841269841272</v>
      </c>
      <c r="Y14" s="445">
        <f>'MF-Old-Tall'!O85</f>
        <v>8.238492063492064</v>
      </c>
      <c r="Z14" s="445">
        <f>'MF-Old-Tall'!P85</f>
        <v>12</v>
      </c>
      <c r="AA14" s="445">
        <f>'MF-Old-Tall'!Q85</f>
        <v>7.2305555555555561</v>
      </c>
      <c r="AB14" s="445">
        <f>'MF-Old-Tall'!R85</f>
        <v>8.3019841269841272</v>
      </c>
      <c r="AC14" s="445">
        <f>'MF-Old-Tall'!S85</f>
        <v>8.238492063492064</v>
      </c>
      <c r="AD14" s="445">
        <f>'MF-Old-Tall'!T85</f>
        <v>12</v>
      </c>
      <c r="AE14" s="445">
        <f>'MF-Old-Tall'!U85</f>
        <v>7.2305555555555561</v>
      </c>
      <c r="AF14" s="445">
        <f>'MF-Old-Tall'!V85</f>
        <v>8.3019841269841272</v>
      </c>
      <c r="AG14" s="445">
        <f>'MF-Old-Tall'!W85</f>
        <v>8.238492063492064</v>
      </c>
      <c r="AH14" s="445">
        <f>'MF-Short'!H85</f>
        <v>14.242948717948718</v>
      </c>
      <c r="AI14" s="445">
        <f>'MF-Short'!I85</f>
        <v>10.563904413188393</v>
      </c>
      <c r="AJ14" s="445">
        <f>'MF-Short'!J85</f>
        <v>8.5701320220789974</v>
      </c>
      <c r="AK14" s="445">
        <f>'MF-Short'!K85</f>
        <v>8.514719332034991</v>
      </c>
      <c r="AL14" s="445">
        <f>'MF-Short'!L85</f>
        <v>14.242948717948718</v>
      </c>
      <c r="AM14" s="445">
        <f>'MF-Short'!M85</f>
        <v>10.563904413188393</v>
      </c>
      <c r="AN14" s="445">
        <f>'MF-Short'!N85</f>
        <v>8.5701320220789974</v>
      </c>
      <c r="AO14" s="445">
        <f>'MF-Short'!O85</f>
        <v>8.514719332034991</v>
      </c>
      <c r="AP14" s="445">
        <f>'MF-Short'!P85</f>
        <v>12</v>
      </c>
      <c r="AQ14" s="445">
        <f>'MF-Short'!Q85</f>
        <v>10.563904413188393</v>
      </c>
      <c r="AR14" s="445">
        <f>'MF-Short'!R85</f>
        <v>8.5701320220789974</v>
      </c>
      <c r="AS14" s="445">
        <f>'MF-Short'!S85</f>
        <v>8.514719332034991</v>
      </c>
      <c r="AT14" s="445">
        <f>'MF-Short'!T85</f>
        <v>12</v>
      </c>
      <c r="AU14" s="445">
        <f>'MF-Short'!U85</f>
        <v>10.563904413188393</v>
      </c>
      <c r="AV14" s="445">
        <f>'MF-Short'!V85</f>
        <v>8.5701320220789974</v>
      </c>
      <c r="AW14" s="445">
        <f>'MF-Short'!W85</f>
        <v>8.514719332034991</v>
      </c>
      <c r="AX14" s="445">
        <f>'Hotel-Dorm-Lodging'!H85</f>
        <v>16.756410256410255</v>
      </c>
      <c r="AY14" s="445">
        <f>'Hotel-Dorm-Lodging'!I85</f>
        <v>12.826666666666668</v>
      </c>
      <c r="AZ14" s="445">
        <f>'Hotel-Dorm-Lodging'!J85</f>
        <v>12.826666666666668</v>
      </c>
      <c r="BA14" s="445">
        <f>'Hotel-Dorm-Lodging'!K85</f>
        <v>12.826666666666668</v>
      </c>
      <c r="BB14" s="445">
        <f>'Hotel-Dorm-Lodging'!L85</f>
        <v>12</v>
      </c>
      <c r="BC14" s="445">
        <f>'Hotel-Dorm-Lodging'!M85</f>
        <v>12.826666666666668</v>
      </c>
      <c r="BD14" s="445">
        <f>'Hotel-Dorm-Lodging'!N85</f>
        <v>12.826666666666668</v>
      </c>
      <c r="BE14" s="445">
        <f>'Hotel-Dorm-Lodging'!O85</f>
        <v>12.826666666666668</v>
      </c>
      <c r="BF14" s="445">
        <f>'Hotel-Dorm-Lodging'!P85</f>
        <v>12</v>
      </c>
      <c r="BG14" s="445">
        <f>'Hotel-Dorm-Lodging'!Q85</f>
        <v>12.826666666666668</v>
      </c>
      <c r="BH14" s="445">
        <f>'Hotel-Dorm-Lodging'!R85</f>
        <v>12.826666666666668</v>
      </c>
      <c r="BI14" s="445">
        <f>'Hotel-Dorm-Lodging'!S85</f>
        <v>12.826666666666668</v>
      </c>
      <c r="BJ14" s="445">
        <f>'Hotel-Dorm-Lodging'!T85</f>
        <v>12</v>
      </c>
      <c r="BK14" s="445">
        <f>'Hotel-Dorm-Lodging'!U85</f>
        <v>12.826666666666668</v>
      </c>
      <c r="BL14" s="445">
        <f>'Hotel-Dorm-Lodging'!V85</f>
        <v>12.826666666666668</v>
      </c>
      <c r="BM14" s="445">
        <f>'Hotel-Dorm-Lodging'!W85</f>
        <v>12.826666666666668</v>
      </c>
      <c r="BN14" s="445" t="e">
        <f>Office!H85</f>
        <v>#REF!</v>
      </c>
      <c r="BO14" s="445">
        <f>Office!I85</f>
        <v>20.054450895016931</v>
      </c>
      <c r="BP14" s="445">
        <f>Office!J85</f>
        <v>15.24552491533623</v>
      </c>
      <c r="BQ14" s="445">
        <f>Office!K85</f>
        <v>15.18505079825834</v>
      </c>
      <c r="BR14" s="445">
        <f>Office!L85</f>
        <v>33.043944313099523</v>
      </c>
      <c r="BS14" s="445">
        <f>Office!M85</f>
        <v>20.054450895016931</v>
      </c>
      <c r="BT14" s="445">
        <f>Office!N85</f>
        <v>15.24552491533623</v>
      </c>
      <c r="BU14" s="445">
        <f>Office!O85</f>
        <v>15.18505079825834</v>
      </c>
      <c r="BV14" s="445">
        <f>Office!P85</f>
        <v>12</v>
      </c>
      <c r="BW14" s="445">
        <f>Office!Q85</f>
        <v>20.054450895016931</v>
      </c>
      <c r="BX14" s="445">
        <f>Office!R85</f>
        <v>15.24552491533623</v>
      </c>
      <c r="BY14" s="445">
        <f>Office!S85</f>
        <v>15.18505079825834</v>
      </c>
      <c r="BZ14" s="445">
        <f>Office!T85</f>
        <v>12</v>
      </c>
      <c r="CA14" s="445">
        <f>Office!U85</f>
        <v>20.054450895016931</v>
      </c>
      <c r="CB14" s="445">
        <f>Office!V85</f>
        <v>15.24552491533623</v>
      </c>
      <c r="CC14" s="445">
        <f>Office!W85</f>
        <v>15.18505079825834</v>
      </c>
    </row>
    <row r="15" spans="1:81" x14ac:dyDescent="0.2">
      <c r="A15" s="395">
        <v>11</v>
      </c>
      <c r="B15" s="415" t="s">
        <v>526</v>
      </c>
      <c r="C15" s="445">
        <f>'MF-New-Tall'!H86</f>
        <v>2.3855910242193104</v>
      </c>
      <c r="D15" s="445">
        <f>'MF-New-Tall'!I86</f>
        <v>2.3855910242193104</v>
      </c>
      <c r="E15" s="445">
        <f>'MF-New-Tall'!J86</f>
        <v>1.4533062836014536</v>
      </c>
      <c r="F15" s="445">
        <f>'MF-New-Tall'!K86</f>
        <v>1.4533062836014536</v>
      </c>
      <c r="G15" s="445">
        <f>'MF-New-Tall'!L86</f>
        <v>2.3855910242193104</v>
      </c>
      <c r="H15" s="445">
        <f>'MF-New-Tall'!M86</f>
        <v>2.3855910242193104</v>
      </c>
      <c r="I15" s="445">
        <f>'MF-New-Tall'!N86</f>
        <v>1.4533062836014536</v>
      </c>
      <c r="J15" s="445">
        <f>'MF-New-Tall'!O86</f>
        <v>1.4533062836014536</v>
      </c>
      <c r="K15" s="445">
        <f>'MF-New-Tall'!P86</f>
        <v>2.3855910242193104</v>
      </c>
      <c r="L15" s="445">
        <f>'MF-New-Tall'!Q86</f>
        <v>2.3855910242193104</v>
      </c>
      <c r="M15" s="445">
        <f>'MF-New-Tall'!R86</f>
        <v>1.4533062836014536</v>
      </c>
      <c r="N15" s="445">
        <f>'MF-New-Tall'!S86</f>
        <v>1.4533062836014536</v>
      </c>
      <c r="O15" s="445">
        <f>'MF-New-Tall'!T86</f>
        <v>2.3855910242193104</v>
      </c>
      <c r="P15" s="445">
        <f>'MF-New-Tall'!U86</f>
        <v>2.3855910242193104</v>
      </c>
      <c r="Q15" s="445">
        <f>'MF-New-Tall'!V86</f>
        <v>1.4533062836014536</v>
      </c>
      <c r="R15" s="445">
        <f>'MF-Old-Tall'!H86</f>
        <v>2.3855910242193104</v>
      </c>
      <c r="S15" s="445">
        <f>'MF-Old-Tall'!I86</f>
        <v>2.3855910242193104</v>
      </c>
      <c r="T15" s="445">
        <f>'MF-Old-Tall'!J86</f>
        <v>1.4533062836014536</v>
      </c>
      <c r="U15" s="445">
        <f>'MF-Old-Tall'!K86</f>
        <v>1.4533062836014536</v>
      </c>
      <c r="V15" s="445">
        <f>'MF-Old-Tall'!L86</f>
        <v>2.3855910242193104</v>
      </c>
      <c r="W15" s="445">
        <f>'MF-Old-Tall'!M86</f>
        <v>2.3855910242193104</v>
      </c>
      <c r="X15" s="445">
        <f>'MF-Old-Tall'!N86</f>
        <v>1.4533062836014536</v>
      </c>
      <c r="Y15" s="445">
        <f>'MF-Old-Tall'!O86</f>
        <v>1.4533062836014536</v>
      </c>
      <c r="Z15" s="445">
        <f>'MF-Old-Tall'!P86</f>
        <v>2.3855910242193104</v>
      </c>
      <c r="AA15" s="445">
        <f>'MF-Old-Tall'!Q86</f>
        <v>2.3855910242193104</v>
      </c>
      <c r="AB15" s="445">
        <f>'MF-Old-Tall'!R86</f>
        <v>1.4533062836014536</v>
      </c>
      <c r="AC15" s="445">
        <f>'MF-Old-Tall'!S86</f>
        <v>1.4533062836014536</v>
      </c>
      <c r="AD15" s="445">
        <f>'MF-Old-Tall'!T86</f>
        <v>2.3855910242193104</v>
      </c>
      <c r="AE15" s="445">
        <f>'MF-Old-Tall'!U86</f>
        <v>2.3855910242193104</v>
      </c>
      <c r="AF15" s="445">
        <f>'MF-Old-Tall'!V86</f>
        <v>1.4533062836014536</v>
      </c>
      <c r="AG15" s="445">
        <f>'MF-Old-Tall'!W86</f>
        <v>1.4533062836014536</v>
      </c>
      <c r="AH15" s="445">
        <f>'MF-Short'!H86</f>
        <v>2.3855910242193104</v>
      </c>
      <c r="AI15" s="445">
        <f>'MF-Short'!I86</f>
        <v>2.3855910242193104</v>
      </c>
      <c r="AJ15" s="445">
        <f>'MF-Short'!J86</f>
        <v>1.4533062836014536</v>
      </c>
      <c r="AK15" s="445">
        <f>'MF-Short'!K86</f>
        <v>1.4533062836014536</v>
      </c>
      <c r="AL15" s="445">
        <f>'MF-Short'!L86</f>
        <v>2.3855910242193104</v>
      </c>
      <c r="AM15" s="445">
        <f>'MF-Short'!M86</f>
        <v>2.3855910242193104</v>
      </c>
      <c r="AN15" s="445">
        <f>'MF-Short'!N86</f>
        <v>1.4533062836014536</v>
      </c>
      <c r="AO15" s="445">
        <f>'MF-Short'!O86</f>
        <v>1.4533062836014536</v>
      </c>
      <c r="AP15" s="445">
        <f>'MF-Short'!P86</f>
        <v>2.3855910242193104</v>
      </c>
      <c r="AQ15" s="445">
        <f>'MF-Short'!Q86</f>
        <v>2.3855910242193104</v>
      </c>
      <c r="AR15" s="445">
        <f>'MF-Short'!R86</f>
        <v>1.4533062836014536</v>
      </c>
      <c r="AS15" s="445">
        <f>'MF-Short'!S86</f>
        <v>1.4533062836014536</v>
      </c>
      <c r="AT15" s="445">
        <f>'MF-Short'!T86</f>
        <v>2.3855910242193104</v>
      </c>
      <c r="AU15" s="445">
        <f>'MF-Short'!U86</f>
        <v>2.3855910242193104</v>
      </c>
      <c r="AV15" s="445">
        <f>'MF-Short'!V86</f>
        <v>1.4533062836014536</v>
      </c>
      <c r="AW15" s="445">
        <f>'MF-Short'!W86</f>
        <v>1.4533062836014536</v>
      </c>
      <c r="AX15" s="445">
        <f>'Hotel-Dorm-Lodging'!H86</f>
        <v>6.6</v>
      </c>
      <c r="AY15" s="445">
        <f>'Hotel-Dorm-Lodging'!I86</f>
        <v>6.6</v>
      </c>
      <c r="AZ15" s="445">
        <f>'Hotel-Dorm-Lodging'!J86</f>
        <v>4.020731707317073</v>
      </c>
      <c r="BA15" s="445">
        <f>'Hotel-Dorm-Lodging'!K86</f>
        <v>4.020731707317073</v>
      </c>
      <c r="BB15" s="445">
        <f>'Hotel-Dorm-Lodging'!L86</f>
        <v>6.6</v>
      </c>
      <c r="BC15" s="445">
        <f>'Hotel-Dorm-Lodging'!M86</f>
        <v>6.6</v>
      </c>
      <c r="BD15" s="445">
        <f>'Hotel-Dorm-Lodging'!N86</f>
        <v>4.020731707317073</v>
      </c>
      <c r="BE15" s="445">
        <f>'Hotel-Dorm-Lodging'!O86</f>
        <v>4.020731707317073</v>
      </c>
      <c r="BF15" s="445">
        <f>'Hotel-Dorm-Lodging'!P86</f>
        <v>6.6</v>
      </c>
      <c r="BG15" s="445">
        <f>'Hotel-Dorm-Lodging'!Q86</f>
        <v>6.6</v>
      </c>
      <c r="BH15" s="445">
        <f>'Hotel-Dorm-Lodging'!R86</f>
        <v>4.020731707317073</v>
      </c>
      <c r="BI15" s="445">
        <f>'Hotel-Dorm-Lodging'!S86</f>
        <v>4.020731707317073</v>
      </c>
      <c r="BJ15" s="445">
        <f>'Hotel-Dorm-Lodging'!T86</f>
        <v>6.6</v>
      </c>
      <c r="BK15" s="445">
        <f>'Hotel-Dorm-Lodging'!U86</f>
        <v>6.6</v>
      </c>
      <c r="BL15" s="445">
        <f>'Hotel-Dorm-Lodging'!V86</f>
        <v>4.020731707317073</v>
      </c>
      <c r="BM15" s="445">
        <f>'Hotel-Dorm-Lodging'!W86</f>
        <v>4.020731707317073</v>
      </c>
      <c r="BN15" s="445">
        <f>Office!H86</f>
        <v>0</v>
      </c>
      <c r="BO15" s="445">
        <f>Office!I86</f>
        <v>0</v>
      </c>
      <c r="BP15" s="445">
        <f>Office!J86</f>
        <v>0</v>
      </c>
      <c r="BQ15" s="445">
        <f>Office!K86</f>
        <v>0</v>
      </c>
      <c r="BR15" s="445">
        <f>Office!L86</f>
        <v>0</v>
      </c>
      <c r="BS15" s="445">
        <f>Office!M86</f>
        <v>0</v>
      </c>
      <c r="BT15" s="445">
        <f>Office!N86</f>
        <v>0</v>
      </c>
      <c r="BU15" s="445">
        <f>Office!O86</f>
        <v>0</v>
      </c>
      <c r="BV15" s="445">
        <f>Office!P86</f>
        <v>0</v>
      </c>
      <c r="BW15" s="445">
        <f>Office!Q86</f>
        <v>0</v>
      </c>
      <c r="BX15" s="445">
        <f>Office!R86</f>
        <v>0</v>
      </c>
      <c r="BY15" s="445">
        <f>Office!S86</f>
        <v>0</v>
      </c>
      <c r="BZ15" s="445">
        <f>Office!T86</f>
        <v>0</v>
      </c>
      <c r="CA15" s="445">
        <f>Office!U86</f>
        <v>0</v>
      </c>
      <c r="CB15" s="445">
        <f>Office!V86</f>
        <v>0</v>
      </c>
      <c r="CC15" s="445">
        <f>Office!W86</f>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2BECE-64F4-47F4-8E94-8389822D5D4D}">
  <dimension ref="A1:AC87"/>
  <sheetViews>
    <sheetView topLeftCell="F9" workbookViewId="0">
      <selection activeCell="O22" sqref="O22"/>
    </sheetView>
  </sheetViews>
  <sheetFormatPr defaultColWidth="9.140625" defaultRowHeight="12.75" x14ac:dyDescent="0.2"/>
  <cols>
    <col min="1" max="1" width="17.7109375" style="10" bestFit="1" customWidth="1"/>
    <col min="2" max="2" width="58" style="10" customWidth="1"/>
    <col min="3" max="5" width="9.140625" style="10"/>
    <col min="6" max="6" width="28" style="10" customWidth="1"/>
    <col min="7" max="7" width="21.7109375" style="10" customWidth="1"/>
    <col min="8" max="12" width="9.140625" style="10"/>
    <col min="13" max="13" width="18.42578125" style="10" customWidth="1"/>
    <col min="14" max="18" width="8.5703125" style="10" customWidth="1"/>
    <col min="19" max="19" width="17.42578125" style="10" customWidth="1"/>
    <col min="20" max="24" width="8.5703125" style="10" customWidth="1"/>
    <col min="25" max="25" width="15.140625" style="10" customWidth="1"/>
    <col min="26" max="31" width="8.5703125" style="10" customWidth="1"/>
    <col min="32" max="32" width="21" style="10" bestFit="1" customWidth="1"/>
    <col min="33" max="36" width="9.140625" style="10"/>
    <col min="37" max="37" width="59.5703125" style="10" bestFit="1" customWidth="1"/>
    <col min="38" max="16384" width="9.140625" style="10"/>
  </cols>
  <sheetData>
    <row r="1" spans="1:21" x14ac:dyDescent="0.2">
      <c r="A1" s="395"/>
      <c r="B1" s="395"/>
      <c r="C1" s="395"/>
      <c r="D1" s="395"/>
      <c r="E1" s="395"/>
      <c r="F1" s="395"/>
      <c r="G1" s="395"/>
      <c r="H1" s="395"/>
      <c r="I1" s="395"/>
      <c r="J1" s="395"/>
      <c r="K1" s="395"/>
      <c r="L1" s="395"/>
      <c r="M1" s="395"/>
      <c r="N1" s="395"/>
      <c r="O1" s="395"/>
      <c r="P1" s="395"/>
      <c r="Q1" s="395"/>
      <c r="R1" s="395"/>
      <c r="S1" s="395"/>
      <c r="T1" s="395"/>
      <c r="U1" s="395"/>
    </row>
    <row r="2" spans="1:21" x14ac:dyDescent="0.2">
      <c r="A2" s="395"/>
      <c r="B2" s="395"/>
      <c r="C2" s="395"/>
      <c r="D2" s="395"/>
      <c r="E2" s="395"/>
      <c r="F2" s="395"/>
      <c r="G2" s="395"/>
      <c r="H2" s="395"/>
      <c r="I2" s="395"/>
      <c r="J2" s="395"/>
      <c r="K2" s="395"/>
      <c r="L2" s="395"/>
      <c r="M2" s="395"/>
      <c r="N2" s="395"/>
      <c r="O2" s="395"/>
      <c r="P2" s="395"/>
      <c r="Q2" s="395"/>
      <c r="R2" s="395"/>
      <c r="S2" s="395"/>
      <c r="T2" s="395"/>
      <c r="U2" s="395"/>
    </row>
    <row r="3" spans="1:21" x14ac:dyDescent="0.2">
      <c r="A3" s="395"/>
      <c r="B3" s="395"/>
      <c r="C3" s="395"/>
      <c r="D3" s="395"/>
      <c r="E3" s="395"/>
      <c r="F3" s="395"/>
      <c r="G3" s="395"/>
      <c r="H3" s="395"/>
      <c r="I3" s="395"/>
      <c r="J3" s="395"/>
      <c r="K3" s="395"/>
      <c r="L3" s="395"/>
      <c r="M3" s="395"/>
      <c r="N3" s="395"/>
      <c r="O3" s="395"/>
      <c r="P3" s="395"/>
      <c r="Q3" s="395"/>
      <c r="R3" s="395"/>
      <c r="S3" s="395"/>
      <c r="T3" s="395"/>
      <c r="U3" s="395"/>
    </row>
    <row r="4" spans="1:21" x14ac:dyDescent="0.2">
      <c r="A4" s="395"/>
      <c r="B4" s="395"/>
      <c r="C4" s="395"/>
      <c r="D4" s="395"/>
      <c r="E4" s="395"/>
      <c r="F4" s="395" t="s">
        <v>673</v>
      </c>
      <c r="G4" s="395" t="s">
        <v>674</v>
      </c>
      <c r="H4" s="395"/>
      <c r="I4" s="395"/>
      <c r="J4" s="395"/>
      <c r="K4" s="395"/>
      <c r="L4" s="395"/>
      <c r="M4" s="395"/>
      <c r="N4" s="193"/>
      <c r="O4" s="395"/>
      <c r="P4" s="395"/>
      <c r="Q4" s="395"/>
      <c r="R4" s="395"/>
      <c r="S4" s="395"/>
      <c r="T4" s="395"/>
      <c r="U4" s="395"/>
    </row>
    <row r="5" spans="1:21" x14ac:dyDescent="0.2">
      <c r="A5" s="395"/>
      <c r="B5" s="395"/>
      <c r="C5" s="395"/>
      <c r="D5" s="395"/>
      <c r="E5" s="395"/>
      <c r="F5" s="395"/>
      <c r="G5" s="398" t="s">
        <v>736</v>
      </c>
      <c r="H5" s="392" t="s">
        <v>676</v>
      </c>
      <c r="I5" s="649" t="s">
        <v>677</v>
      </c>
      <c r="J5" s="649">
        <v>0</v>
      </c>
      <c r="K5" s="649">
        <v>0</v>
      </c>
      <c r="L5" s="649">
        <v>0</v>
      </c>
      <c r="M5" s="193"/>
      <c r="N5" s="193"/>
      <c r="O5" s="395"/>
      <c r="P5" s="395"/>
      <c r="Q5" s="395"/>
      <c r="R5" s="395"/>
      <c r="S5" s="395"/>
      <c r="T5" s="395"/>
      <c r="U5" s="395"/>
    </row>
    <row r="6" spans="1:21" x14ac:dyDescent="0.2">
      <c r="A6" s="395"/>
      <c r="B6" s="395"/>
      <c r="C6" s="395"/>
      <c r="D6" s="395"/>
      <c r="E6" s="395"/>
      <c r="F6" s="395"/>
      <c r="G6" s="3" t="s">
        <v>678</v>
      </c>
      <c r="H6" s="398" t="s">
        <v>679</v>
      </c>
      <c r="I6" s="392">
        <v>1</v>
      </c>
      <c r="J6" s="392">
        <v>2</v>
      </c>
      <c r="K6" s="392">
        <v>3</v>
      </c>
      <c r="L6" s="392">
        <v>4</v>
      </c>
      <c r="M6" s="444"/>
      <c r="N6" s="394"/>
      <c r="O6" s="394"/>
      <c r="P6" s="395"/>
      <c r="Q6" s="395"/>
      <c r="R6" s="395"/>
      <c r="S6" s="395"/>
      <c r="T6" s="395"/>
      <c r="U6" s="395"/>
    </row>
    <row r="7" spans="1:21" x14ac:dyDescent="0.2">
      <c r="A7" s="395"/>
      <c r="B7" s="395"/>
      <c r="C7" s="395"/>
      <c r="D7" s="395"/>
      <c r="E7" s="395"/>
      <c r="F7" s="395"/>
      <c r="G7" s="3" t="s">
        <v>274</v>
      </c>
      <c r="H7" s="447">
        <v>40.394871794871797</v>
      </c>
      <c r="I7" s="447">
        <v>16.037884446176996</v>
      </c>
      <c r="J7" s="447">
        <v>12.425139949880284</v>
      </c>
      <c r="K7" s="448">
        <v>5.9019414761931346</v>
      </c>
      <c r="L7" s="448">
        <v>4.7202871281626688</v>
      </c>
      <c r="M7" s="395"/>
      <c r="N7" s="395"/>
      <c r="O7" s="395"/>
      <c r="P7" s="395"/>
      <c r="Q7" s="395"/>
      <c r="R7" s="395"/>
      <c r="S7" s="395"/>
      <c r="T7" s="395"/>
      <c r="U7" s="395"/>
    </row>
    <row r="8" spans="1:21" x14ac:dyDescent="0.2">
      <c r="A8" s="395"/>
      <c r="B8" s="395"/>
      <c r="C8" s="395"/>
      <c r="D8" s="395"/>
      <c r="E8" s="395"/>
      <c r="F8" s="395"/>
      <c r="G8" s="3" t="s">
        <v>680</v>
      </c>
      <c r="H8" s="447">
        <v>19.776923076923076</v>
      </c>
      <c r="I8" s="448">
        <v>5.5375384615384613</v>
      </c>
      <c r="J8" s="448">
        <v>5.5375384615384613</v>
      </c>
      <c r="K8" s="448">
        <v>5.5375384615384613</v>
      </c>
      <c r="L8" s="448">
        <v>5.5375384615384613</v>
      </c>
      <c r="M8" s="395"/>
      <c r="N8" s="395"/>
      <c r="O8" s="395"/>
      <c r="P8" s="395"/>
      <c r="Q8" s="395"/>
      <c r="R8" s="395"/>
      <c r="S8" s="395"/>
      <c r="T8" s="395"/>
      <c r="U8" s="395"/>
    </row>
    <row r="9" spans="1:21" x14ac:dyDescent="0.2">
      <c r="A9" s="395" t="s">
        <v>681</v>
      </c>
      <c r="B9" s="415"/>
      <c r="C9" s="395"/>
      <c r="D9" s="395"/>
      <c r="E9" s="395"/>
      <c r="F9" s="395"/>
      <c r="G9" s="3" t="s">
        <v>275</v>
      </c>
      <c r="H9" s="448">
        <v>4.7089743589743591</v>
      </c>
      <c r="I9" s="448">
        <v>4.1916666666666664</v>
      </c>
      <c r="J9" s="448">
        <v>4.1916666666666664</v>
      </c>
      <c r="K9" s="448">
        <v>1.8966666666666665</v>
      </c>
      <c r="L9" s="448">
        <v>1.895</v>
      </c>
      <c r="M9" s="395"/>
      <c r="N9" s="395"/>
      <c r="O9" s="395"/>
      <c r="P9" s="395"/>
      <c r="Q9" s="395"/>
      <c r="R9" s="395"/>
      <c r="S9" s="395"/>
      <c r="T9" s="395"/>
      <c r="U9" s="395"/>
    </row>
    <row r="10" spans="1:21" x14ac:dyDescent="0.2">
      <c r="A10" s="395"/>
      <c r="B10" s="415"/>
      <c r="C10" s="395"/>
      <c r="D10" s="395"/>
      <c r="E10" s="395"/>
      <c r="F10" s="395"/>
      <c r="G10" s="4" t="s">
        <v>682</v>
      </c>
      <c r="H10" s="448">
        <v>5.8179487179487186</v>
      </c>
      <c r="I10" s="460">
        <v>4.6348717948717955</v>
      </c>
      <c r="J10" s="460">
        <v>4.6348717948717955</v>
      </c>
      <c r="K10" s="460">
        <v>4.6348717948717955</v>
      </c>
      <c r="L10" s="460">
        <v>4.6348717948717955</v>
      </c>
      <c r="M10" s="395"/>
      <c r="N10" s="395"/>
      <c r="O10" s="395"/>
      <c r="P10" s="395"/>
      <c r="Q10" s="395"/>
      <c r="R10" s="395"/>
      <c r="S10" s="395"/>
      <c r="T10" s="395"/>
      <c r="U10" s="395"/>
    </row>
    <row r="11" spans="1:21" x14ac:dyDescent="0.2">
      <c r="A11" s="395"/>
      <c r="B11" s="395"/>
      <c r="C11" s="395"/>
      <c r="D11" s="395"/>
      <c r="E11" s="395"/>
      <c r="F11" s="395"/>
      <c r="G11" s="3" t="s">
        <v>683</v>
      </c>
      <c r="H11" s="448">
        <v>10.938461538461539</v>
      </c>
      <c r="I11" s="460">
        <v>8.1917948717948725</v>
      </c>
      <c r="J11" s="460">
        <v>12.07465110613246</v>
      </c>
      <c r="K11" s="460">
        <v>8.1917948717948725</v>
      </c>
      <c r="L11" s="460">
        <v>8.1917948717948725</v>
      </c>
      <c r="M11" s="395"/>
      <c r="N11" s="395"/>
      <c r="O11" s="395"/>
      <c r="P11" s="395"/>
      <c r="Q11" s="395"/>
      <c r="R11" s="395"/>
      <c r="S11" s="395"/>
      <c r="T11" s="395"/>
      <c r="U11" s="395"/>
    </row>
    <row r="12" spans="1:21" ht="15" x14ac:dyDescent="0.25">
      <c r="A12" s="395"/>
      <c r="B12" s="395"/>
      <c r="C12" s="395"/>
      <c r="D12" s="395"/>
      <c r="E12" s="395"/>
      <c r="F12" s="395"/>
      <c r="G12" s="3" t="s">
        <v>684</v>
      </c>
      <c r="H12" s="447">
        <v>2.8641025641025641</v>
      </c>
      <c r="I12" s="447">
        <v>2.8642820512820513</v>
      </c>
      <c r="J12" s="447">
        <v>2.8642820512820513</v>
      </c>
      <c r="K12" s="447">
        <v>2.8642820512820513</v>
      </c>
      <c r="L12" s="447">
        <v>2.8642820512820513</v>
      </c>
      <c r="M12" s="395"/>
      <c r="N12" s="263"/>
      <c r="O12" s="263"/>
      <c r="P12" s="263"/>
      <c r="Q12" s="263"/>
      <c r="R12" s="263"/>
      <c r="S12" s="263"/>
      <c r="T12" s="263"/>
      <c r="U12" s="263"/>
    </row>
    <row r="13" spans="1:21" ht="15" x14ac:dyDescent="0.25">
      <c r="A13" s="395"/>
      <c r="B13" s="395"/>
      <c r="C13" s="395"/>
      <c r="D13" s="395"/>
      <c r="E13" s="395"/>
      <c r="F13" s="395"/>
      <c r="G13" s="398" t="s">
        <v>686</v>
      </c>
      <c r="H13" s="447">
        <v>63.035897435897439</v>
      </c>
      <c r="I13" s="447">
        <v>18.902166497459046</v>
      </c>
      <c r="J13" s="447">
        <v>15.289422001162336</v>
      </c>
      <c r="K13" s="447">
        <v>2.8642820512820513</v>
      </c>
      <c r="L13" s="447">
        <v>2.8642820512820513</v>
      </c>
      <c r="M13" s="395"/>
      <c r="N13" s="263"/>
      <c r="O13" s="263"/>
      <c r="P13" s="263"/>
      <c r="Q13" s="263"/>
      <c r="R13" s="263"/>
      <c r="S13" s="263"/>
      <c r="T13" s="263"/>
      <c r="U13" s="263"/>
    </row>
    <row r="14" spans="1:21" ht="15" x14ac:dyDescent="0.25">
      <c r="A14" s="395"/>
      <c r="B14" s="395"/>
      <c r="C14" s="395"/>
      <c r="D14" s="395"/>
      <c r="E14" s="395"/>
      <c r="F14" s="395"/>
      <c r="G14" s="398" t="s">
        <v>688</v>
      </c>
      <c r="H14" s="448">
        <v>21.465384615384622</v>
      </c>
      <c r="I14" s="448">
        <v>22.555871794871802</v>
      </c>
      <c r="J14" s="448">
        <v>26.438728029209386</v>
      </c>
      <c r="K14" s="448">
        <v>26.16281327106493</v>
      </c>
      <c r="L14" s="448">
        <v>24.979492256367799</v>
      </c>
      <c r="M14" s="395"/>
      <c r="N14" s="263"/>
      <c r="O14" s="263"/>
      <c r="P14" s="263"/>
      <c r="Q14" s="263"/>
      <c r="R14" s="263"/>
      <c r="S14" s="263"/>
      <c r="T14" s="263"/>
      <c r="U14" s="263"/>
    </row>
    <row r="15" spans="1:21" ht="15" x14ac:dyDescent="0.25">
      <c r="A15" s="395"/>
      <c r="B15" s="395"/>
      <c r="C15" s="395"/>
      <c r="D15" s="395"/>
      <c r="E15" s="395"/>
      <c r="F15" s="395"/>
      <c r="G15" s="398" t="s">
        <v>690</v>
      </c>
      <c r="H15" s="449">
        <v>84.501282051282061</v>
      </c>
      <c r="I15" s="449">
        <v>41.458038292330848</v>
      </c>
      <c r="J15" s="449">
        <v>41.728150030371722</v>
      </c>
      <c r="K15" s="449">
        <v>29.02709532234698</v>
      </c>
      <c r="L15" s="449">
        <v>27.843774307649849</v>
      </c>
      <c r="M15" s="395"/>
      <c r="N15" s="263"/>
      <c r="O15" s="395"/>
      <c r="P15" s="395"/>
      <c r="Q15" s="263"/>
      <c r="R15" s="263"/>
      <c r="S15" s="263"/>
      <c r="T15" s="263"/>
      <c r="U15" s="263"/>
    </row>
    <row r="16" spans="1:21" ht="15" x14ac:dyDescent="0.25">
      <c r="A16" s="395"/>
      <c r="B16" s="395"/>
      <c r="C16" s="395"/>
      <c r="D16" s="395"/>
      <c r="E16" s="395"/>
      <c r="F16" s="395"/>
      <c r="G16" s="395"/>
      <c r="H16" s="395"/>
      <c r="I16" s="395"/>
      <c r="J16" s="395"/>
      <c r="K16" s="395"/>
      <c r="L16" s="395"/>
      <c r="M16" s="395"/>
      <c r="N16" s="263"/>
      <c r="O16" s="395"/>
      <c r="P16" s="395"/>
      <c r="Q16" s="263"/>
      <c r="R16" s="263"/>
      <c r="S16" s="263"/>
      <c r="T16" s="263"/>
      <c r="U16" s="263"/>
    </row>
    <row r="18" spans="1:29" x14ac:dyDescent="0.2">
      <c r="A18" s="395"/>
      <c r="B18" s="395"/>
      <c r="C18" s="395"/>
      <c r="D18" s="395"/>
      <c r="E18" s="395"/>
      <c r="F18" s="395" t="s">
        <v>691</v>
      </c>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row>
    <row r="19" spans="1:29" ht="12.75" customHeight="1" x14ac:dyDescent="0.2">
      <c r="A19" s="395"/>
      <c r="B19" s="395"/>
      <c r="C19" s="395"/>
      <c r="D19" s="395"/>
      <c r="E19" s="395"/>
      <c r="F19" s="395"/>
      <c r="G19" s="5" t="s">
        <v>692</v>
      </c>
      <c r="H19" s="183" t="s">
        <v>409</v>
      </c>
      <c r="I19" s="183" t="s">
        <v>409</v>
      </c>
      <c r="J19" s="183" t="s">
        <v>409</v>
      </c>
      <c r="K19" s="183" t="s">
        <v>409</v>
      </c>
      <c r="L19" s="395"/>
      <c r="M19" s="5" t="s">
        <v>692</v>
      </c>
      <c r="N19" s="186" t="s">
        <v>418</v>
      </c>
      <c r="O19" s="186" t="s">
        <v>418</v>
      </c>
      <c r="P19" s="186" t="s">
        <v>418</v>
      </c>
      <c r="Q19" s="186" t="s">
        <v>418</v>
      </c>
      <c r="R19" s="395"/>
      <c r="S19" s="5" t="s">
        <v>692</v>
      </c>
      <c r="T19" s="185" t="s">
        <v>405</v>
      </c>
      <c r="U19" s="185" t="s">
        <v>405</v>
      </c>
      <c r="V19" s="185" t="s">
        <v>405</v>
      </c>
      <c r="W19" s="185" t="s">
        <v>405</v>
      </c>
      <c r="X19" s="395"/>
      <c r="Y19" s="5" t="s">
        <v>692</v>
      </c>
      <c r="Z19" s="185" t="s">
        <v>693</v>
      </c>
      <c r="AA19" s="185" t="s">
        <v>693</v>
      </c>
      <c r="AB19" s="185" t="s">
        <v>693</v>
      </c>
      <c r="AC19" s="185" t="s">
        <v>693</v>
      </c>
    </row>
    <row r="20" spans="1:29" ht="25.5" x14ac:dyDescent="0.2">
      <c r="A20" s="395"/>
      <c r="B20" s="395"/>
      <c r="C20" s="395"/>
      <c r="D20" s="395"/>
      <c r="E20" s="395"/>
      <c r="F20" s="395"/>
      <c r="G20" s="5" t="s">
        <v>694</v>
      </c>
      <c r="H20" s="183"/>
      <c r="I20" s="12" t="s">
        <v>695</v>
      </c>
      <c r="J20" s="12" t="s">
        <v>696</v>
      </c>
      <c r="K20" s="13" t="s">
        <v>697</v>
      </c>
      <c r="L20" s="395"/>
      <c r="M20" s="5" t="s">
        <v>694</v>
      </c>
      <c r="N20" s="184"/>
      <c r="O20" s="12" t="s">
        <v>698</v>
      </c>
      <c r="P20" s="12" t="s">
        <v>696</v>
      </c>
      <c r="Q20" s="13" t="s">
        <v>697</v>
      </c>
      <c r="R20" s="395"/>
      <c r="S20" s="5" t="s">
        <v>694</v>
      </c>
      <c r="T20" s="185"/>
      <c r="U20" s="12" t="s">
        <v>698</v>
      </c>
      <c r="V20" s="12" t="s">
        <v>696</v>
      </c>
      <c r="W20" s="13" t="s">
        <v>697</v>
      </c>
      <c r="X20" s="395"/>
      <c r="Y20" s="5" t="s">
        <v>694</v>
      </c>
      <c r="Z20" s="185"/>
      <c r="AA20" s="12" t="s">
        <v>698</v>
      </c>
      <c r="AB20" s="12" t="s">
        <v>696</v>
      </c>
      <c r="AC20" s="13" t="s">
        <v>697</v>
      </c>
    </row>
    <row r="21" spans="1:29" ht="25.5" x14ac:dyDescent="0.2">
      <c r="A21" s="395"/>
      <c r="B21" s="395"/>
      <c r="C21" s="395"/>
      <c r="D21" s="395"/>
      <c r="E21" s="395"/>
      <c r="F21" s="395"/>
      <c r="G21" s="6" t="s">
        <v>699</v>
      </c>
      <c r="H21" s="6" t="s">
        <v>700</v>
      </c>
      <c r="I21" s="6">
        <v>1</v>
      </c>
      <c r="J21" s="6">
        <v>2</v>
      </c>
      <c r="K21" s="6">
        <v>3</v>
      </c>
      <c r="L21" s="395"/>
      <c r="M21" s="6" t="s">
        <v>699</v>
      </c>
      <c r="N21" s="6" t="s">
        <v>700</v>
      </c>
      <c r="O21" s="6">
        <v>1</v>
      </c>
      <c r="P21" s="6">
        <v>2</v>
      </c>
      <c r="Q21" s="6">
        <v>3</v>
      </c>
      <c r="R21" s="395"/>
      <c r="S21" s="6" t="s">
        <v>699</v>
      </c>
      <c r="T21" s="6" t="s">
        <v>700</v>
      </c>
      <c r="U21" s="6">
        <v>1</v>
      </c>
      <c r="V21" s="6">
        <v>2</v>
      </c>
      <c r="W21" s="6">
        <v>3</v>
      </c>
      <c r="X21" s="395"/>
      <c r="Y21" s="6" t="s">
        <v>699</v>
      </c>
      <c r="Z21" s="6" t="s">
        <v>700</v>
      </c>
      <c r="AA21" s="6">
        <v>1</v>
      </c>
      <c r="AB21" s="6">
        <v>2</v>
      </c>
      <c r="AC21" s="6">
        <v>3</v>
      </c>
    </row>
    <row r="22" spans="1:29" x14ac:dyDescent="0.2">
      <c r="A22" s="395"/>
      <c r="B22" s="395"/>
      <c r="C22" s="395"/>
      <c r="D22" s="395"/>
      <c r="E22" s="395"/>
      <c r="F22" s="395"/>
      <c r="G22" s="6" t="s">
        <v>274</v>
      </c>
      <c r="H22" s="9">
        <v>40</v>
      </c>
      <c r="I22" s="9">
        <f t="shared" ref="H22:I24" si="0">I7</f>
        <v>16.037884446176996</v>
      </c>
      <c r="J22" s="187">
        <f>I22*'Electrification of Gas End Uses'!$D$4</f>
        <v>5.1321230227766383</v>
      </c>
      <c r="K22" s="187" t="e">
        <f>#REF!*(1+#REF!)/'Electrification of Gas End Uses'!D12</f>
        <v>#REF!</v>
      </c>
      <c r="L22" s="395"/>
      <c r="M22" s="6" t="s">
        <v>274</v>
      </c>
      <c r="N22" s="17">
        <v>10</v>
      </c>
      <c r="O22" s="9" t="e">
        <f>N22*(1-#REF!)</f>
        <v>#REF!</v>
      </c>
      <c r="P22" s="187" t="e">
        <f>O22*'Electrification of Gas End Uses'!$D$4</f>
        <v>#REF!</v>
      </c>
      <c r="Q22" s="11" t="e">
        <f>K22/J22*P22</f>
        <v>#REF!</v>
      </c>
      <c r="R22" s="395"/>
      <c r="S22" s="6" t="s">
        <v>274</v>
      </c>
      <c r="T22" s="17">
        <v>10</v>
      </c>
      <c r="U22" s="9" t="e">
        <f>O22/N22*T22</f>
        <v>#REF!</v>
      </c>
      <c r="V22" s="187" t="e">
        <f>U22*'Electrification of Gas End Uses'!$D$4</f>
        <v>#REF!</v>
      </c>
      <c r="W22" s="11" t="e">
        <f>Q22/P22*V22</f>
        <v>#REF!</v>
      </c>
      <c r="X22" s="395"/>
      <c r="Y22" s="6" t="s">
        <v>274</v>
      </c>
      <c r="Z22" s="17">
        <v>10</v>
      </c>
      <c r="AA22" s="9" t="e">
        <f>U22/T22*Z22</f>
        <v>#REF!</v>
      </c>
      <c r="AB22" s="187" t="e">
        <f>AA22*'Electrification of Gas End Uses'!$D$4</f>
        <v>#REF!</v>
      </c>
      <c r="AC22" s="11" t="e">
        <f>W22/V22*AB22</f>
        <v>#REF!</v>
      </c>
    </row>
    <row r="23" spans="1:29" x14ac:dyDescent="0.2">
      <c r="A23" s="395"/>
      <c r="B23" s="395"/>
      <c r="C23" s="395"/>
      <c r="D23" s="395"/>
      <c r="E23" s="395"/>
      <c r="F23" s="129"/>
      <c r="G23" s="6" t="s">
        <v>680</v>
      </c>
      <c r="H23" s="9">
        <f>'RECS Microdata End Uses'!E20</f>
        <v>17.767052094085397</v>
      </c>
      <c r="I23" s="9">
        <f>H23*0.8</f>
        <v>14.213641675268319</v>
      </c>
      <c r="J23" s="11">
        <f>I23*'Electrification of Gas End Uses'!$E$4</f>
        <v>5.8146715944279483</v>
      </c>
      <c r="K23" s="11">
        <f>J23</f>
        <v>5.8146715944279483</v>
      </c>
      <c r="L23" s="395"/>
      <c r="M23" s="6" t="s">
        <v>680</v>
      </c>
      <c r="N23" s="9">
        <f>$H23</f>
        <v>17.767052094085397</v>
      </c>
      <c r="O23" s="9">
        <f>N23*0.8</f>
        <v>14.213641675268319</v>
      </c>
      <c r="P23" s="11">
        <f>O23*'Electrification of Gas End Uses'!$E$4</f>
        <v>5.8146715944279483</v>
      </c>
      <c r="Q23" s="11">
        <f>$K23</f>
        <v>5.8146715944279483</v>
      </c>
      <c r="R23" s="395"/>
      <c r="S23" s="6" t="s">
        <v>680</v>
      </c>
      <c r="T23" s="9">
        <f>$H23</f>
        <v>17.767052094085397</v>
      </c>
      <c r="U23" s="9">
        <f>T23*0.8</f>
        <v>14.213641675268319</v>
      </c>
      <c r="V23" s="11">
        <f>U23*'Electrification of Gas End Uses'!$E$4</f>
        <v>5.8146715944279483</v>
      </c>
      <c r="W23" s="11">
        <f>$K23</f>
        <v>5.8146715944279483</v>
      </c>
      <c r="X23" s="395"/>
      <c r="Y23" s="6" t="s">
        <v>680</v>
      </c>
      <c r="Z23" s="9">
        <f>$H23</f>
        <v>17.767052094085397</v>
      </c>
      <c r="AA23" s="9">
        <f>Z23*0.8</f>
        <v>14.213641675268319</v>
      </c>
      <c r="AB23" s="11">
        <f>AA23*'Electrification of Gas End Uses'!$E$4</f>
        <v>5.8146715944279483</v>
      </c>
      <c r="AC23" s="11">
        <f>$K23</f>
        <v>5.8146715944279483</v>
      </c>
    </row>
    <row r="24" spans="1:29" x14ac:dyDescent="0.2">
      <c r="A24" s="395"/>
      <c r="B24" s="395"/>
      <c r="C24" s="395"/>
      <c r="D24" s="395"/>
      <c r="E24" s="395"/>
      <c r="F24" s="395"/>
      <c r="G24" s="6" t="s">
        <v>275</v>
      </c>
      <c r="H24" s="11">
        <f t="shared" si="0"/>
        <v>4.7089743589743591</v>
      </c>
      <c r="I24" s="11">
        <f t="shared" si="0"/>
        <v>4.1916666666666664</v>
      </c>
      <c r="J24" s="260">
        <f>I24*(1-0.3)</f>
        <v>2.9341666666666661</v>
      </c>
      <c r="K24" s="8" t="e">
        <f>#REF!*(1+#REF!)/'Electrification of Gas End Uses'!D12</f>
        <v>#REF!</v>
      </c>
      <c r="L24" s="395"/>
      <c r="M24" s="6" t="s">
        <v>275</v>
      </c>
      <c r="N24" s="18">
        <f>H24</f>
        <v>4.7089743589743591</v>
      </c>
      <c r="O24" s="11">
        <f t="shared" ref="O24:Q26" si="1">I24</f>
        <v>4.1916666666666664</v>
      </c>
      <c r="P24" s="260">
        <f t="shared" si="1"/>
        <v>2.9341666666666661</v>
      </c>
      <c r="Q24" s="260" t="e">
        <f t="shared" si="1"/>
        <v>#REF!</v>
      </c>
      <c r="R24" s="395"/>
      <c r="S24" s="6" t="s">
        <v>275</v>
      </c>
      <c r="T24" s="18">
        <v>10</v>
      </c>
      <c r="U24" s="11">
        <f>O24/N24*T24</f>
        <v>8.9014429621562758</v>
      </c>
      <c r="V24" s="260">
        <f>P24/O24*U24</f>
        <v>6.2310100735093927</v>
      </c>
      <c r="W24" s="260" t="e">
        <f>Q24/P24*V24</f>
        <v>#REF!</v>
      </c>
      <c r="X24" s="395"/>
      <c r="Y24" s="6" t="s">
        <v>275</v>
      </c>
      <c r="Z24" s="18">
        <f>N24</f>
        <v>4.7089743589743591</v>
      </c>
      <c r="AA24" s="11">
        <f>$I24</f>
        <v>4.1916666666666664</v>
      </c>
      <c r="AB24" s="11">
        <f>$J24</f>
        <v>2.9341666666666661</v>
      </c>
      <c r="AC24" s="11" t="e">
        <f>$K24</f>
        <v>#REF!</v>
      </c>
    </row>
    <row r="25" spans="1:29" x14ac:dyDescent="0.2">
      <c r="A25" s="395"/>
      <c r="B25" s="395"/>
      <c r="C25" s="395"/>
      <c r="D25" s="395"/>
      <c r="E25" s="395"/>
      <c r="F25" s="129"/>
      <c r="G25" s="6" t="s">
        <v>701</v>
      </c>
      <c r="H25" s="11">
        <f>H10+H11</f>
        <v>16.756410256410255</v>
      </c>
      <c r="I25" s="11">
        <f>I10+I11</f>
        <v>12.826666666666668</v>
      </c>
      <c r="J25" s="11">
        <f>K10+K11</f>
        <v>12.826666666666668</v>
      </c>
      <c r="K25" s="11">
        <f>L10+L11</f>
        <v>12.826666666666668</v>
      </c>
      <c r="L25" s="395"/>
      <c r="M25" s="6" t="s">
        <v>701</v>
      </c>
      <c r="N25" s="11">
        <v>12</v>
      </c>
      <c r="O25" s="11">
        <f t="shared" si="1"/>
        <v>12.826666666666668</v>
      </c>
      <c r="P25" s="11">
        <f t="shared" si="1"/>
        <v>12.826666666666668</v>
      </c>
      <c r="Q25" s="11">
        <f t="shared" si="1"/>
        <v>12.826666666666668</v>
      </c>
      <c r="R25" s="395"/>
      <c r="S25" s="6" t="s">
        <v>701</v>
      </c>
      <c r="T25" s="11">
        <v>12</v>
      </c>
      <c r="U25" s="11">
        <f t="shared" ref="U25:W26" si="2">O25</f>
        <v>12.826666666666668</v>
      </c>
      <c r="V25" s="11">
        <f t="shared" si="2"/>
        <v>12.826666666666668</v>
      </c>
      <c r="W25" s="11">
        <f t="shared" si="2"/>
        <v>12.826666666666668</v>
      </c>
      <c r="X25" s="395"/>
      <c r="Y25" s="6" t="s">
        <v>701</v>
      </c>
      <c r="Z25" s="11">
        <v>12</v>
      </c>
      <c r="AA25" s="11">
        <f t="shared" ref="AA25:AC26" si="3">U25</f>
        <v>12.826666666666668</v>
      </c>
      <c r="AB25" s="11">
        <f t="shared" si="3"/>
        <v>12.826666666666668</v>
      </c>
      <c r="AC25" s="11">
        <f t="shared" si="3"/>
        <v>12.826666666666668</v>
      </c>
    </row>
    <row r="26" spans="1:29" x14ac:dyDescent="0.2">
      <c r="A26" s="395"/>
      <c r="B26" s="395"/>
      <c r="C26" s="395"/>
      <c r="D26" s="395"/>
      <c r="E26" s="395"/>
      <c r="F26" s="395"/>
      <c r="G26" s="7" t="s">
        <v>526</v>
      </c>
      <c r="H26" s="9">
        <f>'RECS Microdata End Uses'!E8</f>
        <v>2.3855910242193104</v>
      </c>
      <c r="I26" s="9">
        <f>H26</f>
        <v>2.3855910242193104</v>
      </c>
      <c r="J26" s="9">
        <f>I26*'Electrification of Gas End Uses'!F4</f>
        <v>1.4533062836014536</v>
      </c>
      <c r="K26" s="9">
        <f>J26</f>
        <v>1.4533062836014536</v>
      </c>
      <c r="L26" s="395"/>
      <c r="M26" s="7" t="s">
        <v>526</v>
      </c>
      <c r="N26" s="9">
        <f>H26</f>
        <v>2.3855910242193104</v>
      </c>
      <c r="O26" s="9">
        <f t="shared" si="1"/>
        <v>2.3855910242193104</v>
      </c>
      <c r="P26" s="9">
        <f t="shared" si="1"/>
        <v>1.4533062836014536</v>
      </c>
      <c r="Q26" s="9">
        <f t="shared" si="1"/>
        <v>1.4533062836014536</v>
      </c>
      <c r="R26" s="395"/>
      <c r="S26" s="7" t="s">
        <v>526</v>
      </c>
      <c r="T26" s="9">
        <f>N26</f>
        <v>2.3855910242193104</v>
      </c>
      <c r="U26" s="9">
        <f t="shared" si="2"/>
        <v>2.3855910242193104</v>
      </c>
      <c r="V26" s="9">
        <f t="shared" si="2"/>
        <v>1.4533062836014536</v>
      </c>
      <c r="W26" s="9">
        <f t="shared" si="2"/>
        <v>1.4533062836014536</v>
      </c>
      <c r="X26" s="395"/>
      <c r="Y26" s="7" t="s">
        <v>526</v>
      </c>
      <c r="Z26" s="9">
        <f>T26</f>
        <v>2.3855910242193104</v>
      </c>
      <c r="AA26" s="9">
        <f t="shared" si="3"/>
        <v>2.3855910242193104</v>
      </c>
      <c r="AB26" s="9">
        <f t="shared" si="3"/>
        <v>1.4533062836014536</v>
      </c>
      <c r="AC26" s="9">
        <f t="shared" si="3"/>
        <v>1.4533062836014536</v>
      </c>
    </row>
    <row r="27" spans="1:29" x14ac:dyDescent="0.2">
      <c r="A27" s="395"/>
      <c r="B27" s="395"/>
      <c r="C27" s="395"/>
      <c r="D27" s="395"/>
      <c r="E27" s="395"/>
      <c r="F27" s="395"/>
      <c r="G27" s="7" t="s">
        <v>702</v>
      </c>
      <c r="H27" s="9">
        <f>SUM(H26,H22:H23)</f>
        <v>60.152643118304709</v>
      </c>
      <c r="I27" s="9">
        <f>SUM(I26,I22,I23)</f>
        <v>32.637117145664625</v>
      </c>
      <c r="J27" s="9">
        <v>0</v>
      </c>
      <c r="K27" s="9">
        <v>0</v>
      </c>
      <c r="L27" s="395"/>
      <c r="M27" s="7" t="s">
        <v>702</v>
      </c>
      <c r="N27" s="9">
        <f>SUM(N26,N22:N23)</f>
        <v>30.152643118304709</v>
      </c>
      <c r="O27" s="9" t="e">
        <f>SUM(O26,O22,O23)</f>
        <v>#REF!</v>
      </c>
      <c r="P27" s="9">
        <v>0</v>
      </c>
      <c r="Q27" s="9">
        <v>0</v>
      </c>
      <c r="R27" s="395"/>
      <c r="S27" s="7" t="s">
        <v>702</v>
      </c>
      <c r="T27" s="9">
        <f>SUM(T26,T22:T23)</f>
        <v>30.152643118304709</v>
      </c>
      <c r="U27" s="9" t="e">
        <f>SUM(U26,U22,U23)</f>
        <v>#REF!</v>
      </c>
      <c r="V27" s="9">
        <v>0</v>
      </c>
      <c r="W27" s="9">
        <v>0</v>
      </c>
      <c r="X27" s="395"/>
      <c r="Y27" s="7" t="s">
        <v>702</v>
      </c>
      <c r="Z27" s="9">
        <f>SUM(Z26,Z22:Z23)</f>
        <v>30.152643118304709</v>
      </c>
      <c r="AA27" s="9" t="e">
        <f>SUM(AA26,AA22,AA23)</f>
        <v>#REF!</v>
      </c>
      <c r="AB27" s="9">
        <v>0</v>
      </c>
      <c r="AC27" s="9">
        <v>0</v>
      </c>
    </row>
    <row r="28" spans="1:29" x14ac:dyDescent="0.2">
      <c r="A28" s="395"/>
      <c r="B28" s="395"/>
      <c r="C28" s="395"/>
      <c r="D28" s="395"/>
      <c r="E28" s="395"/>
      <c r="F28" s="395"/>
      <c r="G28" s="8" t="s">
        <v>703</v>
      </c>
      <c r="H28" s="11">
        <f>SUM(H24:H25)</f>
        <v>21.465384615384615</v>
      </c>
      <c r="I28" s="11">
        <f>SUM(I24:I25)</f>
        <v>17.018333333333334</v>
      </c>
      <c r="J28" s="11">
        <f>SUM(J22:J26)</f>
        <v>28.160934234139372</v>
      </c>
      <c r="K28" s="11" t="e">
        <f>SUM(K22:K26)</f>
        <v>#REF!</v>
      </c>
      <c r="L28" s="395"/>
      <c r="M28" s="8" t="s">
        <v>703</v>
      </c>
      <c r="N28" s="11">
        <f>SUM(N24:N25)</f>
        <v>16.708974358974359</v>
      </c>
      <c r="O28" s="11">
        <f>SUM(O24:O25)</f>
        <v>17.018333333333334</v>
      </c>
      <c r="P28" s="11" t="e">
        <f>SUM(P22:P26)</f>
        <v>#REF!</v>
      </c>
      <c r="Q28" s="11" t="e">
        <f>SUM(Q22:Q26)</f>
        <v>#REF!</v>
      </c>
      <c r="R28" s="395"/>
      <c r="S28" s="8" t="s">
        <v>703</v>
      </c>
      <c r="T28" s="11">
        <f>SUM(T24:T25)</f>
        <v>22</v>
      </c>
      <c r="U28" s="11">
        <f>SUM(U24:U25)</f>
        <v>21.728109628822942</v>
      </c>
      <c r="V28" s="11" t="e">
        <f>SUM(V22:V26)</f>
        <v>#REF!</v>
      </c>
      <c r="W28" s="11" t="e">
        <f>SUM(W22:W26)</f>
        <v>#REF!</v>
      </c>
      <c r="X28" s="395"/>
      <c r="Y28" s="8" t="s">
        <v>703</v>
      </c>
      <c r="Z28" s="11">
        <f>SUM(Z24:Z25)</f>
        <v>16.708974358974359</v>
      </c>
      <c r="AA28" s="11">
        <f>SUM(AA24:AA25)</f>
        <v>17.018333333333334</v>
      </c>
      <c r="AB28" s="11" t="e">
        <f>SUM(AB22:AB26)</f>
        <v>#REF!</v>
      </c>
      <c r="AC28" s="11" t="e">
        <f>SUM(AC22:AC26)</f>
        <v>#REF!</v>
      </c>
    </row>
    <row r="29" spans="1:29" x14ac:dyDescent="0.2">
      <c r="A29" s="395" t="s">
        <v>704</v>
      </c>
      <c r="B29" s="395"/>
      <c r="C29" s="395"/>
      <c r="D29" s="395"/>
      <c r="E29" s="395"/>
      <c r="F29" s="395"/>
      <c r="G29" s="5" t="s">
        <v>690</v>
      </c>
      <c r="H29" s="14">
        <f>H27+H28</f>
        <v>81.618027733689331</v>
      </c>
      <c r="I29" s="14">
        <f>I27+I28</f>
        <v>49.655450478997963</v>
      </c>
      <c r="J29" s="14">
        <f>J27+J28</f>
        <v>28.160934234139372</v>
      </c>
      <c r="K29" s="14" t="e">
        <f>K27+K28</f>
        <v>#REF!</v>
      </c>
      <c r="L29" s="395"/>
      <c r="M29" s="5" t="s">
        <v>690</v>
      </c>
      <c r="N29" s="14">
        <f>N27+N28</f>
        <v>46.861617477279069</v>
      </c>
      <c r="O29" s="14" t="e">
        <f>O27+O28</f>
        <v>#REF!</v>
      </c>
      <c r="P29" s="14" t="e">
        <f>P27+P28</f>
        <v>#REF!</v>
      </c>
      <c r="Q29" s="14" t="e">
        <f>Q27+Q28</f>
        <v>#REF!</v>
      </c>
      <c r="R29" s="395"/>
      <c r="S29" s="5" t="s">
        <v>690</v>
      </c>
      <c r="T29" s="14">
        <f>T27+T28</f>
        <v>52.152643118304709</v>
      </c>
      <c r="U29" s="14" t="e">
        <f>U27+U28</f>
        <v>#REF!</v>
      </c>
      <c r="V29" s="14" t="e">
        <f>V27+V28</f>
        <v>#REF!</v>
      </c>
      <c r="W29" s="14" t="e">
        <f>W27+W28</f>
        <v>#REF!</v>
      </c>
      <c r="X29" s="395"/>
      <c r="Y29" s="5" t="s">
        <v>690</v>
      </c>
      <c r="Z29" s="14">
        <f>Z27+Z28</f>
        <v>46.861617477279069</v>
      </c>
      <c r="AA29" s="14" t="e">
        <f>AA27+AA28</f>
        <v>#REF!</v>
      </c>
      <c r="AB29" s="14" t="e">
        <f>AB27+AB28</f>
        <v>#REF!</v>
      </c>
      <c r="AC29" s="14" t="e">
        <f>AC27+AC28</f>
        <v>#REF!</v>
      </c>
    </row>
    <row r="30" spans="1:29" x14ac:dyDescent="0.2">
      <c r="A30" s="395"/>
      <c r="B30" s="395"/>
      <c r="C30" s="395"/>
      <c r="D30" s="395"/>
      <c r="E30" s="395"/>
      <c r="F30" s="395"/>
      <c r="G30" s="395" t="s">
        <v>705</v>
      </c>
      <c r="H30" s="91">
        <v>17</v>
      </c>
      <c r="I30" s="395"/>
      <c r="J30" s="395"/>
      <c r="K30" s="395"/>
      <c r="L30" s="395"/>
      <c r="M30" s="395"/>
      <c r="N30" s="395"/>
      <c r="O30" s="395"/>
      <c r="P30" s="395"/>
      <c r="Q30" s="395"/>
      <c r="R30" s="395"/>
      <c r="S30" s="395"/>
      <c r="T30" s="395"/>
      <c r="U30" s="395"/>
      <c r="V30" s="395"/>
      <c r="W30" s="395"/>
      <c r="X30" s="395"/>
      <c r="Y30" s="395"/>
      <c r="Z30" s="395"/>
      <c r="AA30" s="395"/>
      <c r="AB30" s="395"/>
      <c r="AC30" s="395"/>
    </row>
    <row r="31" spans="1:29" ht="15" x14ac:dyDescent="0.25">
      <c r="A31" s="395"/>
      <c r="B31" s="395"/>
      <c r="C31" s="395"/>
      <c r="D31" s="395"/>
      <c r="E31" s="395"/>
      <c r="F31" s="395"/>
      <c r="G31" s="395"/>
      <c r="H31" s="395"/>
      <c r="I31" s="395"/>
      <c r="J31" s="395"/>
      <c r="K31" s="395"/>
      <c r="L31" s="395"/>
      <c r="M31" s="395" t="s">
        <v>706</v>
      </c>
      <c r="N31" s="263" t="s">
        <v>770</v>
      </c>
      <c r="O31" s="395" t="s">
        <v>771</v>
      </c>
      <c r="P31" s="395"/>
      <c r="Q31" s="395"/>
      <c r="R31" s="395"/>
      <c r="S31" s="395"/>
      <c r="T31" s="395"/>
      <c r="U31" s="395"/>
      <c r="V31" s="395"/>
      <c r="W31" s="395"/>
      <c r="X31" s="395"/>
      <c r="Y31" s="395"/>
      <c r="Z31" s="395"/>
      <c r="AA31" s="395"/>
      <c r="AB31" s="395"/>
      <c r="AC31" s="395"/>
    </row>
    <row r="32" spans="1:29" ht="15" x14ac:dyDescent="0.25">
      <c r="A32" s="395"/>
      <c r="B32" s="395"/>
      <c r="C32" s="395"/>
      <c r="D32" s="395"/>
      <c r="E32" s="395"/>
      <c r="F32" s="395"/>
      <c r="G32" s="395"/>
      <c r="H32" s="395"/>
      <c r="I32" s="395"/>
      <c r="J32" s="395"/>
      <c r="K32" s="395"/>
      <c r="L32" s="395"/>
      <c r="M32" s="24" t="str">
        <f>'Prev Seattle Targets ref'!A4</f>
        <v>Multifamily (4-6)</v>
      </c>
      <c r="N32" s="24">
        <f>'Prev Seattle Targets ref'!B4</f>
        <v>20</v>
      </c>
      <c r="O32" s="24">
        <f>'Prev Seattle Targets ref'!C4</f>
        <v>15</v>
      </c>
      <c r="P32" s="395"/>
      <c r="Q32" s="395"/>
      <c r="R32" s="395"/>
      <c r="S32" s="395"/>
      <c r="T32" s="395"/>
      <c r="U32" s="395"/>
      <c r="V32" s="395"/>
      <c r="W32" s="395"/>
      <c r="X32" s="395"/>
      <c r="Y32" s="395"/>
      <c r="Z32" s="395"/>
      <c r="AA32" s="395"/>
      <c r="AB32" s="395"/>
      <c r="AC32" s="395"/>
    </row>
    <row r="33" spans="1:29" x14ac:dyDescent="0.2">
      <c r="A33" s="395"/>
      <c r="B33" s="395"/>
      <c r="C33" s="395"/>
      <c r="D33" s="395"/>
      <c r="E33" s="395"/>
      <c r="F33" s="395"/>
      <c r="G33" s="395"/>
      <c r="H33" s="395"/>
      <c r="I33" s="395"/>
      <c r="J33" s="395"/>
      <c r="K33" s="395"/>
      <c r="L33" s="395"/>
      <c r="M33" s="444" t="str">
        <f>'Prev Seattle Targets ref'!A5</f>
        <v>Multifamily (7+)</v>
      </c>
      <c r="N33" s="444">
        <f>'Prev Seattle Targets ref'!B5</f>
        <v>25</v>
      </c>
      <c r="O33" s="444">
        <f>'Prev Seattle Targets ref'!C5</f>
        <v>18</v>
      </c>
      <c r="P33" s="395"/>
      <c r="Q33" s="395"/>
      <c r="R33" s="395"/>
      <c r="S33" s="395"/>
      <c r="T33" s="395"/>
      <c r="U33" s="395"/>
      <c r="V33" s="395"/>
      <c r="W33" s="395"/>
      <c r="X33" s="395"/>
      <c r="Y33" s="395"/>
      <c r="Z33" s="395"/>
      <c r="AA33" s="395"/>
      <c r="AB33" s="395"/>
      <c r="AC33" s="395"/>
    </row>
    <row r="34" spans="1:29" ht="13.5" thickBot="1" x14ac:dyDescent="0.25">
      <c r="A34" s="395"/>
      <c r="B34" s="395"/>
      <c r="C34" s="395"/>
      <c r="D34" s="395"/>
      <c r="E34" s="395"/>
      <c r="F34" s="395"/>
      <c r="G34" s="395" t="s">
        <v>409</v>
      </c>
      <c r="H34" s="395"/>
      <c r="I34" s="395"/>
      <c r="J34" s="395"/>
      <c r="K34" s="395"/>
      <c r="L34" s="395"/>
      <c r="M34" s="395" t="s">
        <v>418</v>
      </c>
      <c r="N34" s="395"/>
      <c r="O34" s="395"/>
      <c r="P34" s="395"/>
      <c r="Q34" s="395"/>
      <c r="R34" s="395"/>
      <c r="S34" s="395" t="s">
        <v>405</v>
      </c>
      <c r="T34" s="395"/>
      <c r="U34" s="395"/>
      <c r="V34" s="395"/>
      <c r="W34" s="395"/>
      <c r="X34" s="395"/>
      <c r="Y34" s="395" t="s">
        <v>693</v>
      </c>
      <c r="Z34" s="395"/>
      <c r="AA34" s="395"/>
      <c r="AB34" s="395"/>
      <c r="AC34" s="395"/>
    </row>
    <row r="35" spans="1:29" x14ac:dyDescent="0.2">
      <c r="A35" s="395"/>
      <c r="B35" s="395"/>
      <c r="C35" s="395"/>
      <c r="D35" s="395"/>
      <c r="E35" s="395"/>
      <c r="F35" s="450">
        <v>2019</v>
      </c>
      <c r="G35" s="188" t="s">
        <v>710</v>
      </c>
      <c r="H35" s="189">
        <f>H$27*'GHG Coefficient Lookup'!$AE$9/1000</f>
        <v>3.1947068760131634</v>
      </c>
      <c r="I35" s="189">
        <f>I$27*'GHG Coefficient Lookup'!$AE$9/1000</f>
        <v>1.7333572916062483</v>
      </c>
      <c r="J35" s="189">
        <f>J$27*'GHG Coefficient Lookup'!$AE$9/1000</f>
        <v>0</v>
      </c>
      <c r="K35" s="189">
        <f>K$27*'GHG Coefficient Lookup'!$AE$9/1000</f>
        <v>0</v>
      </c>
      <c r="L35" s="451"/>
      <c r="M35" s="188" t="s">
        <v>710</v>
      </c>
      <c r="N35" s="189">
        <f>N$27*'GHG Coefficient Lookup'!$AE$9/1000</f>
        <v>1.6014068760131632</v>
      </c>
      <c r="O35" s="189" t="e">
        <f>O$27*'GHG Coefficient Lookup'!$AE$9/1000</f>
        <v>#REF!</v>
      </c>
      <c r="P35" s="189">
        <f>P$27*'GHG Coefficient Lookup'!$AE$9/1000</f>
        <v>0</v>
      </c>
      <c r="Q35" s="189">
        <f>Q$27*'GHG Coefficient Lookup'!$AE$9/1000</f>
        <v>0</v>
      </c>
      <c r="R35" s="451"/>
      <c r="S35" s="188" t="s">
        <v>710</v>
      </c>
      <c r="T35" s="189">
        <f>T$27*'GHG Coefficient Lookup'!$AE$9/1000</f>
        <v>1.6014068760131632</v>
      </c>
      <c r="U35" s="189" t="e">
        <f>U$27*'GHG Coefficient Lookup'!$AE$9/1000</f>
        <v>#REF!</v>
      </c>
      <c r="V35" s="189">
        <f>V$27*'GHG Coefficient Lookup'!$AE$9/1000</f>
        <v>0</v>
      </c>
      <c r="W35" s="189">
        <f>W$27*'GHG Coefficient Lookup'!$AE$9/1000</f>
        <v>0</v>
      </c>
      <c r="X35" s="451"/>
      <c r="Y35" s="188" t="s">
        <v>710</v>
      </c>
      <c r="Z35" s="189">
        <f>Z$27*'GHG Coefficient Lookup'!$AE$9/1000</f>
        <v>1.6014068760131632</v>
      </c>
      <c r="AA35" s="189" t="e">
        <f>AA$27*'GHG Coefficient Lookup'!$AE$9/1000</f>
        <v>#REF!</v>
      </c>
      <c r="AB35" s="189">
        <f>AB$27*'GHG Coefficient Lookup'!$AE$9/1000</f>
        <v>0</v>
      </c>
      <c r="AC35" s="190">
        <f>AC$27*'GHG Coefficient Lookup'!$AE$9/1000</f>
        <v>0</v>
      </c>
    </row>
    <row r="36" spans="1:29" x14ac:dyDescent="0.2">
      <c r="A36" s="395"/>
      <c r="B36" s="395"/>
      <c r="C36" s="395"/>
      <c r="D36" s="395"/>
      <c r="E36" s="395"/>
      <c r="F36" s="429"/>
      <c r="G36" s="8" t="s">
        <v>711</v>
      </c>
      <c r="H36" s="187">
        <f>VLOOKUP(H$19,'GHG Coefficient Lookup'!$AD$3:$AL$6,8,FALSE)*'MF-New-Tall'!H$28</f>
        <v>1.6313692307692307</v>
      </c>
      <c r="I36" s="187">
        <f>VLOOKUP(I$19,'GHG Coefficient Lookup'!$AD$3:$AL$6,8,FALSE)*'MF-New-Tall'!I$28</f>
        <v>1.2933933333333334</v>
      </c>
      <c r="J36" s="187">
        <f>VLOOKUP(J$19,'GHG Coefficient Lookup'!$AD$3:$AL$6,8,FALSE)*'MF-New-Tall'!J$28</f>
        <v>2.140231001794592</v>
      </c>
      <c r="K36" s="187" t="e">
        <f>VLOOKUP(K$19,'GHG Coefficient Lookup'!$AD$3:$AL$6,8,FALSE)*'MF-New-Tall'!K$28</f>
        <v>#REF!</v>
      </c>
      <c r="L36" s="452"/>
      <c r="M36" s="8" t="s">
        <v>711</v>
      </c>
      <c r="N36" s="187">
        <f>VLOOKUP(N$19,'GHG Coefficient Lookup'!$AD$3:$AL$6,8,FALSE)*'MF-New-Tall'!N$28</f>
        <v>4.5040403814963013E-2</v>
      </c>
      <c r="O36" s="187">
        <f>VLOOKUP(O$19,'GHG Coefficient Lookup'!$AD$3:$AL$6,8,FALSE)*'MF-New-Tall'!O$28</f>
        <v>4.5874306173633361E-2</v>
      </c>
      <c r="P36" s="187" t="e">
        <f>VLOOKUP(P$19,'GHG Coefficient Lookup'!$AD$3:$AL$6,8,FALSE)*'MF-New-Tall'!P$28</f>
        <v>#REF!</v>
      </c>
      <c r="Q36" s="187" t="e">
        <f>VLOOKUP(Q$19,'GHG Coefficient Lookup'!$AD$3:$AL$6,8,FALSE)*'MF-New-Tall'!Q$28</f>
        <v>#REF!</v>
      </c>
      <c r="R36" s="452"/>
      <c r="S36" s="8" t="s">
        <v>711</v>
      </c>
      <c r="T36" s="187">
        <f>VLOOKUP(T$19,'GHG Coefficient Lookup'!$AD$3:$AL$6,8,FALSE)*'MF-New-Tall'!T$28</f>
        <v>4.2149165410595657</v>
      </c>
      <c r="U36" s="187">
        <f>VLOOKUP(U$19,'GHG Coefficient Lookup'!$AD$3:$AL$6,8,FALSE)*'MF-New-Tall'!U$28</f>
        <v>4.1628258491127923</v>
      </c>
      <c r="V36" s="187" t="e">
        <f>VLOOKUP(V$19,'GHG Coefficient Lookup'!$AD$3:$AL$6,8,FALSE)*'MF-New-Tall'!V$28</f>
        <v>#REF!</v>
      </c>
      <c r="W36" s="187" t="e">
        <f>VLOOKUP(W$19,'GHG Coefficient Lookup'!$AD$3:$AL$6,8,FALSE)*'MF-New-Tall'!W$28</f>
        <v>#REF!</v>
      </c>
      <c r="X36" s="452"/>
      <c r="Y36" s="8" t="s">
        <v>711</v>
      </c>
      <c r="Z36" s="187" t="e">
        <f>VLOOKUP(Z$19,'GHG Coefficient Lookup'!$AD$3:$AL$6,8,FALSE)*'MF-New-Tall'!Z$28</f>
        <v>#N/A</v>
      </c>
      <c r="AA36" s="187" t="e">
        <f>VLOOKUP(AA$19,'GHG Coefficient Lookup'!$AD$3:$AL$6,8,FALSE)*'MF-New-Tall'!AA$28</f>
        <v>#N/A</v>
      </c>
      <c r="AB36" s="187" t="e">
        <f>VLOOKUP(AB$19,'GHG Coefficient Lookup'!$AD$3:$AL$6,8,FALSE)*'MF-New-Tall'!AB$28</f>
        <v>#N/A</v>
      </c>
      <c r="AC36" s="191" t="e">
        <f>VLOOKUP(AC$19,'GHG Coefficient Lookup'!$AD$3:$AL$6,8,FALSE)*'MF-New-Tall'!AC$28</f>
        <v>#N/A</v>
      </c>
    </row>
    <row r="37" spans="1:29" ht="13.5" thickBot="1" x14ac:dyDescent="0.25">
      <c r="A37" s="395"/>
      <c r="B37" s="395"/>
      <c r="C37" s="395"/>
      <c r="D37" s="395"/>
      <c r="E37" s="395"/>
      <c r="F37" s="432"/>
      <c r="G37" s="453" t="s">
        <v>712</v>
      </c>
      <c r="H37" s="454">
        <f>H36+H35</f>
        <v>4.8260761067823941</v>
      </c>
      <c r="I37" s="454">
        <f>I36+I35</f>
        <v>3.0267506249395817</v>
      </c>
      <c r="J37" s="454">
        <f>J36+J35</f>
        <v>2.140231001794592</v>
      </c>
      <c r="K37" s="454" t="e">
        <f>K36+K35</f>
        <v>#REF!</v>
      </c>
      <c r="L37" s="455"/>
      <c r="M37" s="453" t="s">
        <v>712</v>
      </c>
      <c r="N37" s="454">
        <f>N36+N35</f>
        <v>1.6464472798281262</v>
      </c>
      <c r="O37" s="454" t="e">
        <f>O36+O35</f>
        <v>#REF!</v>
      </c>
      <c r="P37" s="454" t="e">
        <f>P36+P35</f>
        <v>#REF!</v>
      </c>
      <c r="Q37" s="454" t="e">
        <f>Q36+Q35</f>
        <v>#REF!</v>
      </c>
      <c r="R37" s="455"/>
      <c r="S37" s="453" t="s">
        <v>712</v>
      </c>
      <c r="T37" s="454">
        <f>T36+T35</f>
        <v>5.8163234170727289</v>
      </c>
      <c r="U37" s="454" t="e">
        <f>U36+U35</f>
        <v>#REF!</v>
      </c>
      <c r="V37" s="454" t="e">
        <f>V36+V35</f>
        <v>#REF!</v>
      </c>
      <c r="W37" s="454" t="e">
        <f>W36+W35</f>
        <v>#REF!</v>
      </c>
      <c r="X37" s="455"/>
      <c r="Y37" s="453" t="s">
        <v>712</v>
      </c>
      <c r="Z37" s="454" t="e">
        <f>Z36+Z35</f>
        <v>#N/A</v>
      </c>
      <c r="AA37" s="454" t="e">
        <f>AA36+AA35</f>
        <v>#N/A</v>
      </c>
      <c r="AB37" s="454" t="e">
        <f>AB36+AB35</f>
        <v>#N/A</v>
      </c>
      <c r="AC37" s="456" t="e">
        <f>AC36+AC35</f>
        <v>#N/A</v>
      </c>
    </row>
    <row r="38" spans="1:29" x14ac:dyDescent="0.2">
      <c r="A38" s="395"/>
      <c r="B38" s="395"/>
      <c r="C38" s="395"/>
      <c r="D38" s="395"/>
      <c r="E38" s="395"/>
      <c r="F38" s="457">
        <v>2050</v>
      </c>
      <c r="G38" s="188" t="s">
        <v>710</v>
      </c>
      <c r="H38" s="189">
        <f>H$27*'GHG Coefficient Lookup'!$AE$9/1000</f>
        <v>3.1947068760131634</v>
      </c>
      <c r="I38" s="189">
        <f>I$27*'GHG Coefficient Lookup'!$AE$9/1000</f>
        <v>1.7333572916062483</v>
      </c>
      <c r="J38" s="189">
        <f>J$27*'GHG Coefficient Lookup'!$AE$9/1000</f>
        <v>0</v>
      </c>
      <c r="K38" s="189">
        <f>K$27*'GHG Coefficient Lookup'!$AE$9/1000</f>
        <v>0</v>
      </c>
      <c r="L38" s="451"/>
      <c r="M38" s="188" t="s">
        <v>710</v>
      </c>
      <c r="N38" s="189">
        <f>N$27*'GHG Coefficient Lookup'!$AE$9/1000</f>
        <v>1.6014068760131632</v>
      </c>
      <c r="O38" s="189" t="e">
        <f>O$27*'GHG Coefficient Lookup'!$AE$9/1000</f>
        <v>#REF!</v>
      </c>
      <c r="P38" s="189">
        <f>P$27*'GHG Coefficient Lookup'!$AE$9/1000</f>
        <v>0</v>
      </c>
      <c r="Q38" s="189">
        <f>Q$27*'GHG Coefficient Lookup'!$AE$9/1000</f>
        <v>0</v>
      </c>
      <c r="R38" s="451"/>
      <c r="S38" s="188" t="s">
        <v>710</v>
      </c>
      <c r="T38" s="189">
        <f>T$27*'GHG Coefficient Lookup'!$AE$9/1000</f>
        <v>1.6014068760131632</v>
      </c>
      <c r="U38" s="189" t="e">
        <f>U$27*'GHG Coefficient Lookup'!$AE$9/1000</f>
        <v>#REF!</v>
      </c>
      <c r="V38" s="189">
        <f>V$27*'GHG Coefficient Lookup'!$AE$9/1000</f>
        <v>0</v>
      </c>
      <c r="W38" s="189">
        <f>W$27*'GHG Coefficient Lookup'!$AE$9/1000</f>
        <v>0</v>
      </c>
      <c r="X38" s="451"/>
      <c r="Y38" s="188" t="s">
        <v>710</v>
      </c>
      <c r="Z38" s="189">
        <f>Z$27*'GHG Coefficient Lookup'!$AE$9/1000</f>
        <v>1.6014068760131632</v>
      </c>
      <c r="AA38" s="189" t="e">
        <f>AA$27*'GHG Coefficient Lookup'!$AE$9/1000</f>
        <v>#REF!</v>
      </c>
      <c r="AB38" s="189">
        <f>AB$27*'GHG Coefficient Lookup'!$AE$9/1000</f>
        <v>0</v>
      </c>
      <c r="AC38" s="190">
        <f>AC$27*'GHG Coefficient Lookup'!$AE$9/1000</f>
        <v>0</v>
      </c>
    </row>
    <row r="39" spans="1:29" x14ac:dyDescent="0.2">
      <c r="A39" s="395"/>
      <c r="B39" s="395"/>
      <c r="C39" s="395"/>
      <c r="D39" s="395"/>
      <c r="E39" s="395"/>
      <c r="F39" s="458" t="s">
        <v>713</v>
      </c>
      <c r="G39" s="8" t="s">
        <v>711</v>
      </c>
      <c r="H39" s="187">
        <f>VLOOKUP(H$19,'GHG Coefficient Lookup'!$AD$3:$AL$6,9,FALSE)*'MF-New-Tall'!H$28</f>
        <v>5.7861695777942583E-2</v>
      </c>
      <c r="I39" s="187">
        <f>VLOOKUP(I$19,'GHG Coefficient Lookup'!$AD$3:$AL$6,9,FALSE)*'MF-New-Tall'!I$28</f>
        <v>4.5874306173633361E-2</v>
      </c>
      <c r="J39" s="187">
        <f>VLOOKUP(J$19,'GHG Coefficient Lookup'!$AD$3:$AL$6,9,FALSE)*'MF-New-Tall'!J$28</f>
        <v>7.5910096123345178E-2</v>
      </c>
      <c r="K39" s="187" t="e">
        <f>VLOOKUP(K$19,'GHG Coefficient Lookup'!$AD$3:$AL$6,9,FALSE)*'MF-New-Tall'!K$28</f>
        <v>#REF!</v>
      </c>
      <c r="L39" s="452"/>
      <c r="M39" s="8" t="s">
        <v>711</v>
      </c>
      <c r="N39" s="187">
        <f>VLOOKUP(N$19,'GHG Coefficient Lookup'!$AD$3:$AL$6,9,FALSE)*'MF-New-Tall'!N$28</f>
        <v>4.5040403814963013E-2</v>
      </c>
      <c r="O39" s="187">
        <f>VLOOKUP(O$19,'GHG Coefficient Lookup'!$AD$3:$AL$6,9,FALSE)*'MF-New-Tall'!O$28</f>
        <v>4.5874306173633361E-2</v>
      </c>
      <c r="P39" s="187" t="e">
        <f>VLOOKUP(P$19,'GHG Coefficient Lookup'!$AD$3:$AL$6,9,FALSE)*'MF-New-Tall'!P$28</f>
        <v>#REF!</v>
      </c>
      <c r="Q39" s="187" t="e">
        <f>VLOOKUP(Q$19,'GHG Coefficient Lookup'!$AD$3:$AL$6,9,FALSE)*'MF-New-Tall'!Q$28</f>
        <v>#REF!</v>
      </c>
      <c r="R39" s="452"/>
      <c r="S39" s="8" t="s">
        <v>711</v>
      </c>
      <c r="T39" s="187">
        <f>VLOOKUP(T$19,'GHG Coefficient Lookup'!$AD$3:$AL$6,9,FALSE)*'MF-New-Tall'!T$28</f>
        <v>5.9302795171086109E-2</v>
      </c>
      <c r="U39" s="187">
        <f>VLOOKUP(U$19,'GHG Coefficient Lookup'!$AD$3:$AL$6,9,FALSE)*'MF-New-Tall'!U$28</f>
        <v>5.8569892489681398E-2</v>
      </c>
      <c r="V39" s="187" t="e">
        <f>VLOOKUP(V$19,'GHG Coefficient Lookup'!$AD$3:$AL$6,9,FALSE)*'MF-New-Tall'!V$28</f>
        <v>#REF!</v>
      </c>
      <c r="W39" s="187" t="e">
        <f>VLOOKUP(W$19,'GHG Coefficient Lookup'!$AD$3:$AL$6,9,FALSE)*'MF-New-Tall'!W$28</f>
        <v>#REF!</v>
      </c>
      <c r="X39" s="452"/>
      <c r="Y39" s="8" t="s">
        <v>711</v>
      </c>
      <c r="Z39" s="187" t="e">
        <f>VLOOKUP(Z$19,'GHG Coefficient Lookup'!$AD$3:$AL$6,9,FALSE)*'MF-New-Tall'!Z$28</f>
        <v>#N/A</v>
      </c>
      <c r="AA39" s="187" t="e">
        <f>VLOOKUP(AA$19,'GHG Coefficient Lookup'!$AD$3:$AL$6,9,FALSE)*'MF-New-Tall'!AA$28</f>
        <v>#N/A</v>
      </c>
      <c r="AB39" s="187" t="e">
        <f>VLOOKUP(AB$19,'GHG Coefficient Lookup'!$AD$3:$AL$6,9,FALSE)*'MF-New-Tall'!AB$28</f>
        <v>#N/A</v>
      </c>
      <c r="AC39" s="191" t="e">
        <f>VLOOKUP(AC$19,'GHG Coefficient Lookup'!$AD$3:$AL$6,9,FALSE)*'MF-New-Tall'!AC$28</f>
        <v>#N/A</v>
      </c>
    </row>
    <row r="40" spans="1:29" ht="13.5" thickBot="1" x14ac:dyDescent="0.25">
      <c r="A40" s="395"/>
      <c r="B40" s="395"/>
      <c r="C40" s="395"/>
      <c r="D40" s="395"/>
      <c r="E40" s="395"/>
      <c r="F40" s="432"/>
      <c r="G40" s="453" t="s">
        <v>712</v>
      </c>
      <c r="H40" s="454">
        <f>H39+H38</f>
        <v>3.2525685717911061</v>
      </c>
      <c r="I40" s="454">
        <f>I39+I38</f>
        <v>1.7792315977798816</v>
      </c>
      <c r="J40" s="454">
        <f>J39+J38</f>
        <v>7.5910096123345178E-2</v>
      </c>
      <c r="K40" s="454" t="e">
        <f>K39+K38</f>
        <v>#REF!</v>
      </c>
      <c r="L40" s="455"/>
      <c r="M40" s="453" t="s">
        <v>712</v>
      </c>
      <c r="N40" s="454">
        <f>N39+N38</f>
        <v>1.6464472798281262</v>
      </c>
      <c r="O40" s="454" t="e">
        <f>O39+O38</f>
        <v>#REF!</v>
      </c>
      <c r="P40" s="454" t="e">
        <f>P39+P38</f>
        <v>#REF!</v>
      </c>
      <c r="Q40" s="454" t="e">
        <f>Q39+Q38</f>
        <v>#REF!</v>
      </c>
      <c r="R40" s="455"/>
      <c r="S40" s="453" t="s">
        <v>712</v>
      </c>
      <c r="T40" s="454">
        <f>T39+T38</f>
        <v>1.6607096711842493</v>
      </c>
      <c r="U40" s="454" t="e">
        <f>U39+U38</f>
        <v>#REF!</v>
      </c>
      <c r="V40" s="454" t="e">
        <f>V39+V38</f>
        <v>#REF!</v>
      </c>
      <c r="W40" s="454" t="e">
        <f>W39+W38</f>
        <v>#REF!</v>
      </c>
      <c r="X40" s="455"/>
      <c r="Y40" s="453" t="s">
        <v>712</v>
      </c>
      <c r="Z40" s="454" t="e">
        <f>Z39+Z38</f>
        <v>#N/A</v>
      </c>
      <c r="AA40" s="454" t="e">
        <f>AA39+AA38</f>
        <v>#N/A</v>
      </c>
      <c r="AB40" s="454" t="e">
        <f>AB39+AB38</f>
        <v>#N/A</v>
      </c>
      <c r="AC40" s="456" t="e">
        <f>AC39+AC38</f>
        <v>#N/A</v>
      </c>
    </row>
    <row r="41" spans="1:29" ht="15" x14ac:dyDescent="0.25">
      <c r="A41" s="395"/>
      <c r="B41" s="395"/>
      <c r="C41" s="395"/>
      <c r="D41" s="395"/>
      <c r="E41" s="395"/>
      <c r="F41" s="263"/>
      <c r="G41" s="263"/>
      <c r="H41" s="263"/>
      <c r="I41" s="263"/>
      <c r="J41" s="263"/>
      <c r="K41" s="263"/>
      <c r="L41" s="263"/>
      <c r="M41" s="263"/>
      <c r="N41" s="263"/>
      <c r="O41" s="263"/>
      <c r="P41" s="395"/>
      <c r="Q41" s="395"/>
      <c r="R41" s="395"/>
      <c r="S41" s="395"/>
      <c r="T41" s="395"/>
      <c r="U41" s="395"/>
      <c r="V41" s="395"/>
      <c r="W41" s="395"/>
      <c r="X41" s="395"/>
      <c r="Y41" s="395"/>
      <c r="Z41" s="395"/>
      <c r="AA41" s="395"/>
      <c r="AB41" s="395"/>
      <c r="AC41" s="395"/>
    </row>
    <row r="42" spans="1:29" ht="15" x14ac:dyDescent="0.25">
      <c r="A42" s="395"/>
      <c r="B42" s="395"/>
      <c r="C42" s="395"/>
      <c r="D42" s="395"/>
      <c r="E42" s="395"/>
      <c r="F42" s="263"/>
      <c r="G42" s="263"/>
      <c r="H42" s="263"/>
      <c r="I42" s="263"/>
      <c r="J42" s="263"/>
      <c r="K42" s="263"/>
      <c r="L42" s="263"/>
      <c r="M42" s="263"/>
      <c r="N42" s="263"/>
      <c r="O42" s="263"/>
      <c r="P42" s="395"/>
      <c r="Q42" s="395"/>
      <c r="R42" s="395"/>
      <c r="S42" s="395"/>
      <c r="T42" s="395"/>
      <c r="U42" s="395"/>
      <c r="V42" s="395"/>
      <c r="W42" s="395"/>
      <c r="X42" s="395"/>
      <c r="Y42" s="395"/>
      <c r="Z42" s="395"/>
      <c r="AA42" s="395"/>
      <c r="AB42" s="395"/>
      <c r="AC42" s="395"/>
    </row>
    <row r="43" spans="1:29" ht="15" x14ac:dyDescent="0.25">
      <c r="A43" s="395"/>
      <c r="B43" s="395"/>
      <c r="C43" s="395"/>
      <c r="D43" s="395"/>
      <c r="E43" s="395"/>
      <c r="F43" s="263"/>
      <c r="G43" s="263"/>
      <c r="H43" s="263"/>
      <c r="I43" s="263"/>
      <c r="J43" s="263"/>
      <c r="K43" s="263"/>
      <c r="L43" s="263"/>
      <c r="M43" s="263"/>
      <c r="N43" s="263"/>
      <c r="O43" s="263"/>
      <c r="P43" s="395"/>
      <c r="Q43" s="395"/>
      <c r="R43" s="395"/>
      <c r="S43" s="395"/>
      <c r="T43" s="395"/>
      <c r="U43" s="395"/>
      <c r="V43" s="395"/>
      <c r="W43" s="395"/>
      <c r="X43" s="395"/>
      <c r="Y43" s="395"/>
      <c r="Z43" s="395"/>
      <c r="AA43" s="395"/>
      <c r="AB43" s="395"/>
      <c r="AC43" s="395"/>
    </row>
    <row r="44" spans="1:29" ht="15" x14ac:dyDescent="0.25">
      <c r="A44" s="395"/>
      <c r="B44" s="395"/>
      <c r="C44" s="395"/>
      <c r="D44" s="395"/>
      <c r="E44" s="395"/>
      <c r="F44" s="263"/>
      <c r="G44" s="263"/>
      <c r="H44" s="263"/>
      <c r="I44" s="263"/>
      <c r="J44" s="263"/>
      <c r="K44" s="263"/>
      <c r="L44" s="263"/>
      <c r="M44" s="263"/>
      <c r="N44" s="263"/>
      <c r="O44" s="263"/>
      <c r="P44" s="395"/>
      <c r="Q44" s="395"/>
      <c r="R44" s="395"/>
      <c r="S44" s="395"/>
      <c r="T44" s="395"/>
      <c r="U44" s="395"/>
      <c r="V44" s="395"/>
      <c r="W44" s="395"/>
      <c r="X44" s="395"/>
      <c r="Y44" s="395"/>
      <c r="Z44" s="395"/>
      <c r="AA44" s="395"/>
      <c r="AB44" s="395"/>
      <c r="AC44" s="395"/>
    </row>
    <row r="45" spans="1:29" ht="15" x14ac:dyDescent="0.25">
      <c r="A45" s="395"/>
      <c r="B45" s="395"/>
      <c r="C45" s="395"/>
      <c r="D45" s="395"/>
      <c r="E45" s="395"/>
      <c r="F45" s="263"/>
      <c r="G45" s="263"/>
      <c r="H45" s="263"/>
      <c r="I45" s="263"/>
      <c r="J45" s="263"/>
      <c r="K45" s="263"/>
      <c r="L45" s="263"/>
      <c r="M45" s="263"/>
      <c r="N45" s="263"/>
      <c r="O45" s="263"/>
      <c r="P45" s="395"/>
      <c r="Q45" s="395"/>
      <c r="R45" s="395"/>
      <c r="S45" s="395"/>
      <c r="T45" s="395"/>
      <c r="U45" s="395"/>
      <c r="V45" s="395"/>
      <c r="W45" s="395"/>
      <c r="X45" s="395"/>
      <c r="Y45" s="395"/>
      <c r="Z45" s="395"/>
      <c r="AA45" s="395"/>
      <c r="AB45" s="395"/>
      <c r="AC45" s="395"/>
    </row>
    <row r="46" spans="1:29" ht="15" x14ac:dyDescent="0.25">
      <c r="A46" s="395"/>
      <c r="B46" s="395"/>
      <c r="C46" s="395"/>
      <c r="D46" s="395"/>
      <c r="E46" s="395"/>
      <c r="F46" s="263"/>
      <c r="G46" s="263"/>
      <c r="H46" s="263"/>
      <c r="I46" s="263"/>
      <c r="J46" s="263"/>
      <c r="K46" s="263"/>
      <c r="L46" s="263"/>
      <c r="M46" s="263"/>
      <c r="N46" s="263"/>
      <c r="O46" s="263"/>
      <c r="P46" s="395"/>
      <c r="Q46" s="395"/>
      <c r="R46" s="395"/>
      <c r="S46" s="395"/>
      <c r="T46" s="395"/>
      <c r="U46" s="395"/>
      <c r="V46" s="395"/>
      <c r="W46" s="395"/>
      <c r="X46" s="395"/>
      <c r="Y46" s="395"/>
      <c r="Z46" s="395"/>
      <c r="AA46" s="395"/>
      <c r="AB46" s="395"/>
      <c r="AC46" s="395"/>
    </row>
    <row r="47" spans="1:29" ht="15" x14ac:dyDescent="0.25">
      <c r="A47" s="395"/>
      <c r="B47" s="395"/>
      <c r="C47" s="395"/>
      <c r="D47" s="395"/>
      <c r="E47" s="395"/>
      <c r="F47" s="263"/>
      <c r="G47" s="263"/>
      <c r="H47" s="263"/>
      <c r="I47" s="263"/>
      <c r="J47" s="263"/>
      <c r="K47" s="263"/>
      <c r="L47" s="263"/>
      <c r="M47" s="263"/>
      <c r="N47" s="263"/>
      <c r="O47" s="263"/>
      <c r="P47" s="395"/>
      <c r="Q47" s="395"/>
      <c r="R47" s="395"/>
      <c r="S47" s="395"/>
      <c r="T47" s="395"/>
      <c r="U47" s="395"/>
      <c r="V47" s="395"/>
      <c r="W47" s="395"/>
      <c r="X47" s="395"/>
      <c r="Y47" s="395"/>
      <c r="Z47" s="395"/>
      <c r="AA47" s="395"/>
      <c r="AB47" s="395"/>
      <c r="AC47" s="395"/>
    </row>
    <row r="48" spans="1:29" ht="15" x14ac:dyDescent="0.25">
      <c r="A48" s="395"/>
      <c r="B48" s="395"/>
      <c r="C48" s="395"/>
      <c r="D48" s="395"/>
      <c r="E48" s="395"/>
      <c r="F48" s="395"/>
      <c r="G48" s="395"/>
      <c r="H48" s="395"/>
      <c r="I48" s="395"/>
      <c r="J48" s="395"/>
      <c r="K48" s="395"/>
      <c r="L48" s="395"/>
      <c r="M48" s="395"/>
      <c r="N48" s="395"/>
      <c r="O48" s="263"/>
      <c r="P48" s="395"/>
      <c r="Q48" s="395"/>
      <c r="R48" s="395"/>
      <c r="S48" s="395"/>
      <c r="T48" s="395"/>
      <c r="U48" s="395"/>
      <c r="V48" s="395"/>
      <c r="W48" s="395"/>
      <c r="X48" s="395"/>
      <c r="Y48" s="395"/>
      <c r="Z48" s="395"/>
      <c r="AA48" s="395"/>
      <c r="AB48" s="395"/>
      <c r="AC48" s="395"/>
    </row>
    <row r="49" spans="1:15" ht="15" x14ac:dyDescent="0.25">
      <c r="A49" s="395"/>
      <c r="B49" s="395"/>
      <c r="C49" s="395"/>
      <c r="D49" s="395"/>
      <c r="E49" s="395"/>
      <c r="F49" s="395"/>
      <c r="G49" s="395"/>
      <c r="H49" s="395"/>
      <c r="I49" s="395"/>
      <c r="J49" s="395"/>
      <c r="K49" s="395"/>
      <c r="L49" s="395"/>
      <c r="M49" s="395"/>
      <c r="N49" s="395"/>
      <c r="O49" s="263"/>
    </row>
    <row r="50" spans="1:15" x14ac:dyDescent="0.2">
      <c r="A50" s="395"/>
      <c r="B50" s="395" t="s">
        <v>717</v>
      </c>
      <c r="C50" s="395"/>
      <c r="D50" s="395" t="s">
        <v>718</v>
      </c>
      <c r="E50" s="395"/>
      <c r="F50" s="395"/>
      <c r="G50" s="395"/>
      <c r="H50" s="395"/>
      <c r="I50" s="395"/>
      <c r="J50" s="395"/>
      <c r="K50" s="395"/>
      <c r="L50" s="395"/>
      <c r="M50" s="395"/>
      <c r="N50" s="395"/>
      <c r="O50" s="395"/>
    </row>
    <row r="51" spans="1:15" x14ac:dyDescent="0.2">
      <c r="A51" s="395"/>
      <c r="B51" s="395" t="s">
        <v>719</v>
      </c>
      <c r="C51" s="395">
        <v>15</v>
      </c>
      <c r="D51" s="395" t="s">
        <v>720</v>
      </c>
      <c r="E51" s="395"/>
      <c r="F51" s="395"/>
      <c r="G51" s="395"/>
      <c r="H51" s="395"/>
      <c r="I51" s="395"/>
      <c r="J51" s="395"/>
      <c r="K51" s="395"/>
      <c r="L51" s="395"/>
      <c r="M51" s="395"/>
      <c r="N51" s="395"/>
      <c r="O51" s="395"/>
    </row>
    <row r="52" spans="1:15" x14ac:dyDescent="0.2">
      <c r="A52" s="395"/>
      <c r="B52" s="395" t="s">
        <v>721</v>
      </c>
      <c r="C52" s="395">
        <v>40</v>
      </c>
      <c r="D52" s="395" t="s">
        <v>720</v>
      </c>
      <c r="E52" s="395"/>
      <c r="F52" s="395"/>
      <c r="G52" s="395"/>
      <c r="H52" s="395"/>
      <c r="I52" s="395"/>
      <c r="J52" s="395"/>
      <c r="K52" s="395"/>
      <c r="L52" s="395"/>
      <c r="M52" s="395"/>
      <c r="N52" s="395"/>
      <c r="O52" s="395"/>
    </row>
    <row r="53" spans="1:15" x14ac:dyDescent="0.2">
      <c r="A53" s="395"/>
      <c r="B53" s="395" t="s">
        <v>722</v>
      </c>
      <c r="C53" s="394">
        <f>'RECS Microdata End Uses'!E19</f>
        <v>10.926479438658347</v>
      </c>
      <c r="D53" s="395" t="s">
        <v>718</v>
      </c>
      <c r="E53" s="395"/>
      <c r="F53" s="395"/>
      <c r="G53" s="395"/>
      <c r="H53" s="395"/>
      <c r="I53" s="395"/>
      <c r="J53" s="395"/>
      <c r="K53" s="395"/>
      <c r="L53" s="395"/>
      <c r="M53" s="395"/>
      <c r="N53" s="395"/>
      <c r="O53" s="395"/>
    </row>
    <row r="54" spans="1:15" x14ac:dyDescent="0.2">
      <c r="A54" s="395"/>
      <c r="B54" s="395" t="s">
        <v>723</v>
      </c>
      <c r="C54" s="394">
        <f>'RECS Microdata End Uses'!D9</f>
        <v>0.62000012096616908</v>
      </c>
      <c r="D54" s="395" t="s">
        <v>718</v>
      </c>
      <c r="E54" s="395"/>
      <c r="F54" s="395"/>
      <c r="G54" s="395"/>
      <c r="H54" s="395"/>
      <c r="I54" s="395"/>
      <c r="J54" s="395"/>
      <c r="K54" s="395"/>
      <c r="L54" s="395"/>
      <c r="M54" s="395"/>
      <c r="N54" s="395"/>
      <c r="O54" s="395"/>
    </row>
    <row r="57" spans="1:15" x14ac:dyDescent="0.2">
      <c r="A57" s="395"/>
      <c r="B57" s="395" t="s">
        <v>724</v>
      </c>
      <c r="C57" s="395"/>
      <c r="D57" s="395"/>
      <c r="E57" s="395"/>
      <c r="F57" s="395"/>
      <c r="G57" s="395"/>
      <c r="H57" s="395"/>
      <c r="I57" s="395"/>
      <c r="J57" s="395"/>
      <c r="K57" s="395"/>
      <c r="L57" s="395"/>
      <c r="M57" s="395"/>
      <c r="N57" s="395"/>
      <c r="O57" s="395"/>
    </row>
    <row r="58" spans="1:15" x14ac:dyDescent="0.2">
      <c r="A58" s="395"/>
      <c r="B58" s="395" t="s">
        <v>725</v>
      </c>
      <c r="C58" s="395"/>
      <c r="D58" s="395"/>
      <c r="E58" s="395"/>
      <c r="F58" s="395"/>
      <c r="G58" s="395"/>
      <c r="H58" s="395"/>
      <c r="I58" s="395"/>
      <c r="J58" s="395"/>
      <c r="K58" s="395"/>
      <c r="L58" s="395"/>
      <c r="M58" s="395"/>
      <c r="N58" s="395"/>
      <c r="O58" s="395"/>
    </row>
    <row r="59" spans="1:15" x14ac:dyDescent="0.2">
      <c r="A59" s="395"/>
      <c r="B59" s="395" t="s">
        <v>726</v>
      </c>
      <c r="C59" s="395"/>
      <c r="D59" s="395"/>
      <c r="E59" s="395"/>
      <c r="F59" s="395"/>
      <c r="G59" s="395"/>
      <c r="H59" s="395"/>
      <c r="I59" s="395"/>
      <c r="J59" s="395"/>
      <c r="K59" s="395"/>
      <c r="L59" s="395"/>
      <c r="M59" s="395"/>
      <c r="N59" s="395"/>
      <c r="O59" s="395"/>
    </row>
    <row r="60" spans="1:15" x14ac:dyDescent="0.2">
      <c r="A60" s="395" t="s">
        <v>727</v>
      </c>
      <c r="B60" s="395"/>
      <c r="C60" s="395"/>
      <c r="D60" s="395"/>
      <c r="E60" s="395"/>
      <c r="F60" s="395"/>
      <c r="G60" s="395"/>
      <c r="H60" s="395"/>
      <c r="I60" s="395"/>
      <c r="J60" s="395"/>
      <c r="K60" s="395"/>
      <c r="L60" s="395"/>
      <c r="M60" s="395"/>
      <c r="N60" s="395"/>
      <c r="O60" s="395"/>
    </row>
    <row r="61" spans="1:15" x14ac:dyDescent="0.2">
      <c r="A61" s="395" t="s">
        <v>728</v>
      </c>
      <c r="B61" s="395"/>
      <c r="C61" s="395"/>
      <c r="D61" s="395"/>
      <c r="E61" s="395"/>
      <c r="F61" s="395"/>
      <c r="G61" s="395"/>
      <c r="H61" s="395"/>
      <c r="I61" s="395"/>
      <c r="J61" s="395"/>
      <c r="K61" s="395"/>
      <c r="L61" s="395"/>
      <c r="M61" s="395"/>
      <c r="N61" s="395"/>
      <c r="O61" s="395"/>
    </row>
    <row r="62" spans="1:15" x14ac:dyDescent="0.2">
      <c r="A62" s="395" t="s">
        <v>729</v>
      </c>
      <c r="B62" s="395"/>
      <c r="C62" s="395"/>
      <c r="D62" s="395"/>
      <c r="E62" s="395"/>
      <c r="F62" s="395"/>
      <c r="G62" s="395"/>
      <c r="H62" s="395"/>
      <c r="I62" s="395"/>
      <c r="J62" s="395"/>
      <c r="K62" s="395"/>
      <c r="L62" s="395"/>
      <c r="M62" s="395"/>
      <c r="N62" s="395"/>
      <c r="O62" s="395"/>
    </row>
    <row r="77" spans="6:23" x14ac:dyDescent="0.2">
      <c r="F77" s="395" t="s">
        <v>730</v>
      </c>
      <c r="G77" s="399" t="s">
        <v>395</v>
      </c>
      <c r="H77" s="399" t="s">
        <v>409</v>
      </c>
      <c r="I77" s="399" t="s">
        <v>409</v>
      </c>
      <c r="J77" s="399" t="s">
        <v>409</v>
      </c>
      <c r="K77" s="399" t="s">
        <v>409</v>
      </c>
      <c r="L77" s="399" t="s">
        <v>418</v>
      </c>
      <c r="M77" s="399" t="s">
        <v>418</v>
      </c>
      <c r="N77" s="399" t="s">
        <v>418</v>
      </c>
      <c r="O77" s="399" t="s">
        <v>418</v>
      </c>
      <c r="P77" s="399" t="s">
        <v>405</v>
      </c>
      <c r="Q77" s="399" t="s">
        <v>405</v>
      </c>
      <c r="R77" s="399" t="s">
        <v>405</v>
      </c>
      <c r="S77" s="399" t="s">
        <v>405</v>
      </c>
      <c r="T77" s="399" t="s">
        <v>413</v>
      </c>
      <c r="U77" s="399" t="s">
        <v>413</v>
      </c>
      <c r="V77" s="399" t="s">
        <v>413</v>
      </c>
      <c r="W77" s="399" t="s">
        <v>413</v>
      </c>
    </row>
    <row r="78" spans="6:23" x14ac:dyDescent="0.2">
      <c r="F78" s="395"/>
      <c r="G78" s="399" t="s">
        <v>666</v>
      </c>
      <c r="H78" s="399" t="s">
        <v>442</v>
      </c>
      <c r="I78" s="399" t="s">
        <v>442</v>
      </c>
      <c r="J78" s="399" t="s">
        <v>442</v>
      </c>
      <c r="K78" s="399" t="s">
        <v>442</v>
      </c>
      <c r="L78" s="399" t="s">
        <v>442</v>
      </c>
      <c r="M78" s="399" t="s">
        <v>442</v>
      </c>
      <c r="N78" s="399" t="s">
        <v>442</v>
      </c>
      <c r="O78" s="399" t="s">
        <v>442</v>
      </c>
      <c r="P78" s="399" t="s">
        <v>442</v>
      </c>
      <c r="Q78" s="399" t="s">
        <v>442</v>
      </c>
      <c r="R78" s="399" t="s">
        <v>442</v>
      </c>
      <c r="S78" s="399" t="s">
        <v>442</v>
      </c>
      <c r="T78" s="399" t="s">
        <v>442</v>
      </c>
      <c r="U78" s="399" t="s">
        <v>442</v>
      </c>
      <c r="V78" s="399" t="s">
        <v>442</v>
      </c>
      <c r="W78" s="399" t="s">
        <v>442</v>
      </c>
    </row>
    <row r="79" spans="6:23" x14ac:dyDescent="0.2">
      <c r="F79" s="395"/>
      <c r="G79" s="395" t="s">
        <v>533</v>
      </c>
      <c r="H79" s="395">
        <v>0</v>
      </c>
      <c r="I79" s="206">
        <v>1</v>
      </c>
      <c r="J79" s="206">
        <v>2</v>
      </c>
      <c r="K79" s="206">
        <v>3</v>
      </c>
      <c r="L79" s="206">
        <v>0</v>
      </c>
      <c r="M79" s="206">
        <v>1</v>
      </c>
      <c r="N79" s="206">
        <v>2</v>
      </c>
      <c r="O79" s="206">
        <v>3</v>
      </c>
      <c r="P79" s="206">
        <v>0</v>
      </c>
      <c r="Q79" s="206">
        <v>1</v>
      </c>
      <c r="R79" s="206">
        <v>2</v>
      </c>
      <c r="S79" s="206">
        <v>3</v>
      </c>
      <c r="T79" s="206">
        <v>0</v>
      </c>
      <c r="U79" s="206">
        <v>1</v>
      </c>
      <c r="V79" s="206">
        <v>2</v>
      </c>
      <c r="W79" s="206">
        <v>3</v>
      </c>
    </row>
    <row r="80" spans="6:23" x14ac:dyDescent="0.2">
      <c r="F80" s="395"/>
      <c r="G80" s="395" t="s">
        <v>667</v>
      </c>
      <c r="H80" s="394">
        <f>H82*I80/I82</f>
        <v>32</v>
      </c>
      <c r="I80" s="459">
        <f>J80*2.5</f>
        <v>12.830307556941596</v>
      </c>
      <c r="J80" s="459">
        <f>J22</f>
        <v>5.1321230227766383</v>
      </c>
      <c r="K80" s="459" t="e">
        <f>K22</f>
        <v>#REF!</v>
      </c>
      <c r="L80" s="394" t="e">
        <f>L82*M80/M82</f>
        <v>#REF!</v>
      </c>
      <c r="M80" s="459" t="e">
        <f>N80*2.5</f>
        <v>#REF!</v>
      </c>
      <c r="N80" s="459" t="e">
        <f>P22</f>
        <v>#REF!</v>
      </c>
      <c r="O80" s="459" t="e">
        <f>Q22</f>
        <v>#REF!</v>
      </c>
      <c r="P80" s="459" t="e">
        <f>Q80*2.5</f>
        <v>#REF!</v>
      </c>
      <c r="Q80" s="459" t="e">
        <f>R80*2.5</f>
        <v>#REF!</v>
      </c>
      <c r="R80" s="459" t="e">
        <f>V22</f>
        <v>#REF!</v>
      </c>
      <c r="S80" s="459" t="e">
        <f>W22</f>
        <v>#REF!</v>
      </c>
      <c r="T80" s="459" t="e">
        <f>U80*2.5</f>
        <v>#REF!</v>
      </c>
      <c r="U80" s="459" t="e">
        <f>V80*2.5</f>
        <v>#REF!</v>
      </c>
      <c r="V80" s="459" t="e">
        <f>AB22</f>
        <v>#REF!</v>
      </c>
      <c r="W80" s="459" t="e">
        <f>AC22</f>
        <v>#REF!</v>
      </c>
    </row>
    <row r="81" spans="2:23" x14ac:dyDescent="0.2">
      <c r="B81" s="395"/>
      <c r="C81" s="395"/>
      <c r="D81" s="395"/>
      <c r="E81" s="395"/>
      <c r="F81" s="395"/>
      <c r="G81" s="395" t="s">
        <v>668</v>
      </c>
      <c r="H81" s="205">
        <f>I81</f>
        <v>5.8146715944279483</v>
      </c>
      <c r="I81" s="205">
        <f>J81</f>
        <v>5.8146715944279483</v>
      </c>
      <c r="J81" s="459">
        <f>J23</f>
        <v>5.8146715944279483</v>
      </c>
      <c r="K81" s="459">
        <f>K23</f>
        <v>5.8146715944279483</v>
      </c>
      <c r="L81" s="205">
        <f>M81</f>
        <v>5.8146715944279483</v>
      </c>
      <c r="M81" s="205">
        <f>N81</f>
        <v>5.8146715944279483</v>
      </c>
      <c r="N81" s="459">
        <f>P23</f>
        <v>5.8146715944279483</v>
      </c>
      <c r="O81" s="459">
        <f>Q23</f>
        <v>5.8146715944279483</v>
      </c>
      <c r="P81" s="205">
        <f>Q81</f>
        <v>5.8146715944279483</v>
      </c>
      <c r="Q81" s="459">
        <f>R81</f>
        <v>5.8146715944279483</v>
      </c>
      <c r="R81" s="459">
        <f>V23</f>
        <v>5.8146715944279483</v>
      </c>
      <c r="S81" s="459">
        <f>W23</f>
        <v>5.8146715944279483</v>
      </c>
      <c r="T81" s="205">
        <f>U81</f>
        <v>5.8146715944279483</v>
      </c>
      <c r="U81" s="459">
        <f>V81</f>
        <v>5.8146715944279483</v>
      </c>
      <c r="V81" s="459">
        <f>AB23</f>
        <v>5.8146715944279483</v>
      </c>
      <c r="W81" s="459">
        <f>AC23</f>
        <v>5.8146715944279483</v>
      </c>
    </row>
    <row r="82" spans="2:23" x14ac:dyDescent="0.2">
      <c r="B82" s="395"/>
      <c r="C82" s="395"/>
      <c r="D82" s="395"/>
      <c r="E82" s="395"/>
      <c r="F82" s="395"/>
      <c r="G82" s="395" t="s">
        <v>524</v>
      </c>
      <c r="H82" s="394">
        <f t="shared" ref="H82:I86" si="4">H22</f>
        <v>40</v>
      </c>
      <c r="I82" s="459">
        <f t="shared" si="4"/>
        <v>16.037884446176996</v>
      </c>
      <c r="J82" s="459">
        <v>0</v>
      </c>
      <c r="K82" s="459">
        <v>0</v>
      </c>
      <c r="L82" s="394">
        <f>N22</f>
        <v>10</v>
      </c>
      <c r="M82" s="459" t="e">
        <f>O22</f>
        <v>#REF!</v>
      </c>
      <c r="N82" s="459">
        <v>0</v>
      </c>
      <c r="O82" s="459">
        <v>0</v>
      </c>
      <c r="P82" s="459">
        <f>T22</f>
        <v>10</v>
      </c>
      <c r="Q82" s="459" t="e">
        <f>U22</f>
        <v>#REF!</v>
      </c>
      <c r="R82" s="459">
        <v>0</v>
      </c>
      <c r="S82" s="459">
        <v>0</v>
      </c>
      <c r="T82" s="459">
        <f>Z22</f>
        <v>10</v>
      </c>
      <c r="U82" s="459" t="e">
        <f>AA22</f>
        <v>#REF!</v>
      </c>
      <c r="V82" s="459">
        <v>0</v>
      </c>
      <c r="W82" s="459">
        <v>0</v>
      </c>
    </row>
    <row r="83" spans="2:23" x14ac:dyDescent="0.2">
      <c r="B83" s="395"/>
      <c r="C83" s="395"/>
      <c r="D83" s="395"/>
      <c r="E83" s="395"/>
      <c r="F83" s="395"/>
      <c r="G83" s="395" t="s">
        <v>525</v>
      </c>
      <c r="H83" s="394">
        <f t="shared" si="4"/>
        <v>17.767052094085397</v>
      </c>
      <c r="I83" s="459">
        <f t="shared" si="4"/>
        <v>14.213641675268319</v>
      </c>
      <c r="J83" s="459">
        <v>0</v>
      </c>
      <c r="K83" s="459">
        <v>0</v>
      </c>
      <c r="L83" s="394">
        <f t="shared" ref="L83:L86" si="5">N23</f>
        <v>17.767052094085397</v>
      </c>
      <c r="M83" s="459">
        <f>O23</f>
        <v>14.213641675268319</v>
      </c>
      <c r="N83" s="459">
        <v>0</v>
      </c>
      <c r="O83" s="459">
        <v>0</v>
      </c>
      <c r="P83" s="459">
        <f t="shared" ref="P83:P86" si="6">T23</f>
        <v>17.767052094085397</v>
      </c>
      <c r="Q83" s="459">
        <f>U23</f>
        <v>14.213641675268319</v>
      </c>
      <c r="R83" s="459">
        <v>0</v>
      </c>
      <c r="S83" s="459">
        <v>0</v>
      </c>
      <c r="T83" s="459">
        <f t="shared" ref="T83:T86" si="7">Z23</f>
        <v>17.767052094085397</v>
      </c>
      <c r="U83" s="459">
        <f>AA23</f>
        <v>14.213641675268319</v>
      </c>
      <c r="V83" s="459">
        <v>0</v>
      </c>
      <c r="W83" s="459">
        <v>0</v>
      </c>
    </row>
    <row r="84" spans="2:23" x14ac:dyDescent="0.2">
      <c r="B84" s="395"/>
      <c r="C84" s="395"/>
      <c r="D84" s="395"/>
      <c r="E84" s="395"/>
      <c r="F84" s="395"/>
      <c r="G84" s="395" t="s">
        <v>528</v>
      </c>
      <c r="H84" s="394">
        <f t="shared" si="4"/>
        <v>4.7089743589743591</v>
      </c>
      <c r="I84" s="459">
        <f t="shared" si="4"/>
        <v>4.1916666666666664</v>
      </c>
      <c r="J84" s="459">
        <f t="shared" ref="J84:K86" si="8">J24</f>
        <v>2.9341666666666661</v>
      </c>
      <c r="K84" s="459" t="e">
        <f t="shared" si="8"/>
        <v>#REF!</v>
      </c>
      <c r="L84" s="394">
        <f t="shared" si="5"/>
        <v>4.7089743589743591</v>
      </c>
      <c r="M84" s="459">
        <f>O24</f>
        <v>4.1916666666666664</v>
      </c>
      <c r="N84" s="459">
        <f t="shared" ref="N84:O86" si="9">P24</f>
        <v>2.9341666666666661</v>
      </c>
      <c r="O84" s="459" t="e">
        <f t="shared" si="9"/>
        <v>#REF!</v>
      </c>
      <c r="P84" s="459">
        <f t="shared" si="6"/>
        <v>10</v>
      </c>
      <c r="Q84" s="459">
        <f>U24</f>
        <v>8.9014429621562758</v>
      </c>
      <c r="R84" s="459">
        <f t="shared" ref="R84:S86" si="10">V24</f>
        <v>6.2310100735093927</v>
      </c>
      <c r="S84" s="459" t="e">
        <f t="shared" si="10"/>
        <v>#REF!</v>
      </c>
      <c r="T84" s="459">
        <f t="shared" si="7"/>
        <v>4.7089743589743591</v>
      </c>
      <c r="U84" s="459">
        <f>AA24</f>
        <v>4.1916666666666664</v>
      </c>
      <c r="V84" s="459">
        <f t="shared" ref="V84:W86" si="11">AB24</f>
        <v>2.9341666666666661</v>
      </c>
      <c r="W84" s="459" t="e">
        <f t="shared" si="11"/>
        <v>#REF!</v>
      </c>
    </row>
    <row r="85" spans="2:23" x14ac:dyDescent="0.2">
      <c r="B85" s="395" t="s">
        <v>731</v>
      </c>
      <c r="C85" s="395"/>
      <c r="D85" s="395"/>
      <c r="E85" s="395"/>
      <c r="F85" s="395"/>
      <c r="G85" s="395" t="s">
        <v>527</v>
      </c>
      <c r="H85" s="394">
        <f t="shared" si="4"/>
        <v>16.756410256410255</v>
      </c>
      <c r="I85" s="459">
        <f t="shared" si="4"/>
        <v>12.826666666666668</v>
      </c>
      <c r="J85" s="459">
        <f t="shared" si="8"/>
        <v>12.826666666666668</v>
      </c>
      <c r="K85" s="459">
        <f t="shared" si="8"/>
        <v>12.826666666666668</v>
      </c>
      <c r="L85" s="394">
        <f t="shared" si="5"/>
        <v>12</v>
      </c>
      <c r="M85" s="459">
        <f>O25</f>
        <v>12.826666666666668</v>
      </c>
      <c r="N85" s="459">
        <f t="shared" si="9"/>
        <v>12.826666666666668</v>
      </c>
      <c r="O85" s="459">
        <f t="shared" si="9"/>
        <v>12.826666666666668</v>
      </c>
      <c r="P85" s="459">
        <f t="shared" si="6"/>
        <v>12</v>
      </c>
      <c r="Q85" s="459">
        <f>U25</f>
        <v>12.826666666666668</v>
      </c>
      <c r="R85" s="459">
        <f t="shared" si="10"/>
        <v>12.826666666666668</v>
      </c>
      <c r="S85" s="459">
        <f t="shared" si="10"/>
        <v>12.826666666666668</v>
      </c>
      <c r="T85" s="459">
        <f t="shared" si="7"/>
        <v>12</v>
      </c>
      <c r="U85" s="459">
        <f>AA25</f>
        <v>12.826666666666668</v>
      </c>
      <c r="V85" s="459">
        <f t="shared" si="11"/>
        <v>12.826666666666668</v>
      </c>
      <c r="W85" s="459">
        <f t="shared" si="11"/>
        <v>12.826666666666668</v>
      </c>
    </row>
    <row r="86" spans="2:23" x14ac:dyDescent="0.2">
      <c r="B86" s="395" t="s">
        <v>732</v>
      </c>
      <c r="C86" s="395"/>
      <c r="D86" s="395"/>
      <c r="E86" s="395"/>
      <c r="F86" s="395"/>
      <c r="G86" s="395" t="s">
        <v>526</v>
      </c>
      <c r="H86" s="394">
        <f t="shared" si="4"/>
        <v>2.3855910242193104</v>
      </c>
      <c r="I86" s="459">
        <f t="shared" si="4"/>
        <v>2.3855910242193104</v>
      </c>
      <c r="J86" s="459">
        <f t="shared" si="8"/>
        <v>1.4533062836014536</v>
      </c>
      <c r="K86" s="459">
        <f t="shared" si="8"/>
        <v>1.4533062836014536</v>
      </c>
      <c r="L86" s="394">
        <f t="shared" si="5"/>
        <v>2.3855910242193104</v>
      </c>
      <c r="M86" s="459">
        <f>O26</f>
        <v>2.3855910242193104</v>
      </c>
      <c r="N86" s="459">
        <f t="shared" si="9"/>
        <v>1.4533062836014536</v>
      </c>
      <c r="O86" s="459">
        <f t="shared" si="9"/>
        <v>1.4533062836014536</v>
      </c>
      <c r="P86" s="459">
        <f t="shared" si="6"/>
        <v>2.3855910242193104</v>
      </c>
      <c r="Q86" s="459">
        <f>U26</f>
        <v>2.3855910242193104</v>
      </c>
      <c r="R86" s="459">
        <f t="shared" si="10"/>
        <v>1.4533062836014536</v>
      </c>
      <c r="S86" s="459">
        <f t="shared" si="10"/>
        <v>1.4533062836014536</v>
      </c>
      <c r="T86" s="459">
        <f t="shared" si="7"/>
        <v>2.3855910242193104</v>
      </c>
      <c r="U86" s="459">
        <f>AA26</f>
        <v>2.3855910242193104</v>
      </c>
      <c r="V86" s="459">
        <f t="shared" si="11"/>
        <v>1.4533062836014536</v>
      </c>
      <c r="W86" s="459">
        <f t="shared" si="11"/>
        <v>1.4533062836014536</v>
      </c>
    </row>
    <row r="87" spans="2:23" x14ac:dyDescent="0.2">
      <c r="B87" s="395" t="s">
        <v>733</v>
      </c>
      <c r="C87" s="395"/>
      <c r="D87" s="395"/>
      <c r="E87" s="395"/>
      <c r="F87" s="395"/>
      <c r="G87" s="395"/>
      <c r="H87" s="395"/>
      <c r="I87" s="395"/>
      <c r="J87" s="395"/>
      <c r="K87" s="395"/>
      <c r="L87" s="395"/>
      <c r="M87" s="395"/>
      <c r="N87" s="395"/>
      <c r="O87" s="395"/>
      <c r="P87" s="395"/>
      <c r="Q87" s="395"/>
      <c r="R87" s="395"/>
      <c r="S87" s="395"/>
      <c r="T87" s="395"/>
      <c r="U87" s="395"/>
      <c r="V87" s="395"/>
      <c r="W87" s="395"/>
    </row>
  </sheetData>
  <mergeCells count="1">
    <mergeCell ref="I5:L5"/>
  </mergeCells>
  <conditionalFormatting sqref="H29:K29 N29:Q29 T29:W29 Z29:AC29">
    <cfRule type="cellIs" dxfId="4" priority="4" operator="lessThan">
      <formula>$H$30</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29F73-B003-4233-AFBA-93D611ABE578}">
  <dimension ref="A1:AC87"/>
  <sheetViews>
    <sheetView topLeftCell="G1" workbookViewId="0">
      <selection activeCell="AC23" sqref="AC23"/>
    </sheetView>
  </sheetViews>
  <sheetFormatPr defaultColWidth="9.140625" defaultRowHeight="12.75" x14ac:dyDescent="0.2"/>
  <cols>
    <col min="1" max="1" width="17.7109375" style="10" bestFit="1" customWidth="1"/>
    <col min="2" max="2" width="58" style="10" customWidth="1"/>
    <col min="3" max="5" width="9.140625" style="10"/>
    <col min="6" max="6" width="28" style="10" customWidth="1"/>
    <col min="7" max="7" width="21.7109375" style="10" customWidth="1"/>
    <col min="8" max="12" width="9.140625" style="10"/>
    <col min="13" max="13" width="18.42578125" style="10" customWidth="1"/>
    <col min="14" max="18" width="8.5703125" style="10" customWidth="1"/>
    <col min="19" max="19" width="17.42578125" style="10" customWidth="1"/>
    <col min="20" max="24" width="8.5703125" style="10" customWidth="1"/>
    <col min="25" max="25" width="15.140625" style="10" customWidth="1"/>
    <col min="26" max="31" width="8.5703125" style="10" customWidth="1"/>
    <col min="32" max="16384" width="9.140625" style="10"/>
  </cols>
  <sheetData>
    <row r="1" spans="1:21" x14ac:dyDescent="0.2">
      <c r="A1" s="395" t="s">
        <v>669</v>
      </c>
      <c r="B1" s="395"/>
      <c r="C1" s="395"/>
      <c r="D1" s="395"/>
      <c r="E1" s="395"/>
      <c r="F1" s="395"/>
      <c r="G1" s="395"/>
      <c r="H1" s="395"/>
      <c r="I1" s="395"/>
      <c r="J1" s="395"/>
      <c r="K1" s="395"/>
      <c r="L1" s="395"/>
      <c r="M1" s="395"/>
      <c r="N1" s="395"/>
      <c r="O1" s="395"/>
      <c r="P1" s="395"/>
      <c r="Q1" s="395"/>
      <c r="R1" s="395"/>
      <c r="S1" s="395"/>
      <c r="T1" s="395"/>
      <c r="U1" s="395"/>
    </row>
    <row r="2" spans="1:21" x14ac:dyDescent="0.2">
      <c r="A2" s="395" t="s">
        <v>670</v>
      </c>
      <c r="B2" s="395" t="s">
        <v>671</v>
      </c>
      <c r="C2" s="395"/>
      <c r="D2" s="395"/>
      <c r="E2" s="395"/>
      <c r="F2" s="395"/>
      <c r="G2" s="395"/>
      <c r="H2" s="395"/>
      <c r="I2" s="395"/>
      <c r="J2" s="395"/>
      <c r="K2" s="395"/>
      <c r="L2" s="395"/>
      <c r="M2" s="395"/>
      <c r="N2" s="395"/>
      <c r="O2" s="395"/>
      <c r="P2" s="395"/>
      <c r="Q2" s="395"/>
      <c r="R2" s="395"/>
      <c r="S2" s="395"/>
      <c r="T2" s="395"/>
      <c r="U2" s="395"/>
    </row>
    <row r="3" spans="1:21" x14ac:dyDescent="0.2">
      <c r="A3" s="395"/>
      <c r="B3" s="395" t="s">
        <v>672</v>
      </c>
      <c r="C3" s="395"/>
      <c r="D3" s="395"/>
      <c r="E3" s="395"/>
      <c r="F3" s="395"/>
      <c r="G3" s="395"/>
      <c r="H3" s="395"/>
      <c r="I3" s="395"/>
      <c r="J3" s="395"/>
      <c r="K3" s="395"/>
      <c r="L3" s="395"/>
      <c r="M3" s="395"/>
      <c r="N3" s="395"/>
      <c r="O3" s="395"/>
      <c r="P3" s="395"/>
      <c r="Q3" s="395"/>
      <c r="R3" s="395"/>
      <c r="S3" s="395"/>
      <c r="T3" s="395"/>
      <c r="U3" s="395"/>
    </row>
    <row r="4" spans="1:21" x14ac:dyDescent="0.2">
      <c r="A4" s="395"/>
      <c r="B4" s="395"/>
      <c r="C4" s="395"/>
      <c r="D4" s="395"/>
      <c r="E4" s="395"/>
      <c r="F4" s="395" t="s">
        <v>673</v>
      </c>
      <c r="G4" s="395" t="s">
        <v>674</v>
      </c>
      <c r="H4" s="395"/>
      <c r="I4" s="395"/>
      <c r="J4" s="395"/>
      <c r="K4" s="395"/>
      <c r="L4" s="395"/>
      <c r="M4" s="395"/>
      <c r="N4" s="395"/>
      <c r="O4" s="395"/>
      <c r="P4" s="395"/>
      <c r="Q4" s="395"/>
      <c r="R4" s="395"/>
      <c r="S4" s="395"/>
      <c r="T4" s="395"/>
      <c r="U4" s="395"/>
    </row>
    <row r="5" spans="1:21" ht="15" x14ac:dyDescent="0.25">
      <c r="A5" s="395"/>
      <c r="B5" s="395"/>
      <c r="C5" s="395"/>
      <c r="D5" s="395"/>
      <c r="E5" s="395"/>
      <c r="F5" s="395"/>
      <c r="G5" s="446" t="s">
        <v>675</v>
      </c>
      <c r="H5" s="392" t="s">
        <v>676</v>
      </c>
      <c r="I5" s="649" t="s">
        <v>677</v>
      </c>
      <c r="J5" s="649">
        <v>0</v>
      </c>
      <c r="K5" s="649">
        <v>0</v>
      </c>
      <c r="L5" s="649">
        <v>0</v>
      </c>
      <c r="M5" s="395"/>
      <c r="N5" s="263"/>
      <c r="O5" s="263"/>
      <c r="P5" s="263"/>
      <c r="Q5" s="263"/>
      <c r="R5" s="263"/>
      <c r="S5" s="263"/>
      <c r="T5" s="263"/>
      <c r="U5" s="263"/>
    </row>
    <row r="6" spans="1:21" ht="15" x14ac:dyDescent="0.25">
      <c r="A6" s="395"/>
      <c r="B6" s="395"/>
      <c r="C6" s="395"/>
      <c r="D6" s="395"/>
      <c r="E6" s="395"/>
      <c r="F6" s="395"/>
      <c r="G6" s="3" t="s">
        <v>678</v>
      </c>
      <c r="H6" s="398" t="s">
        <v>679</v>
      </c>
      <c r="I6" s="392">
        <v>1</v>
      </c>
      <c r="J6" s="392">
        <v>2</v>
      </c>
      <c r="K6" s="392">
        <v>3</v>
      </c>
      <c r="L6" s="392">
        <v>4</v>
      </c>
      <c r="M6" s="395"/>
      <c r="N6" s="263"/>
      <c r="O6" s="263"/>
      <c r="P6" s="263"/>
      <c r="Q6" s="263"/>
      <c r="R6" s="263"/>
      <c r="S6" s="263"/>
      <c r="T6" s="263"/>
      <c r="U6" s="263"/>
    </row>
    <row r="7" spans="1:21" ht="15" x14ac:dyDescent="0.25">
      <c r="A7" s="395"/>
      <c r="B7" s="395"/>
      <c r="C7" s="395"/>
      <c r="D7" s="395"/>
      <c r="E7" s="395"/>
      <c r="F7" s="395"/>
      <c r="G7" s="3" t="s">
        <v>274</v>
      </c>
      <c r="H7" s="447">
        <v>47.873015873015873</v>
      </c>
      <c r="I7" s="447">
        <v>23.443805341755418</v>
      </c>
      <c r="J7" s="447">
        <v>18.343072615561482</v>
      </c>
      <c r="K7" s="448">
        <v>6.7502507225266255</v>
      </c>
      <c r="L7" s="448">
        <v>3.0504414027809887</v>
      </c>
      <c r="M7" s="395"/>
      <c r="N7" s="263"/>
      <c r="O7" s="263"/>
      <c r="P7" s="263"/>
      <c r="Q7" s="263"/>
      <c r="R7" s="263"/>
      <c r="S7" s="263"/>
      <c r="T7" s="263"/>
      <c r="U7" s="263"/>
    </row>
    <row r="8" spans="1:21" ht="15" x14ac:dyDescent="0.25">
      <c r="A8" s="395"/>
      <c r="B8" s="395"/>
      <c r="C8" s="395"/>
      <c r="D8" s="395"/>
      <c r="E8" s="395"/>
      <c r="F8" s="395"/>
      <c r="G8" s="3" t="s">
        <v>680</v>
      </c>
      <c r="H8" s="447">
        <v>22.904761904761905</v>
      </c>
      <c r="I8" s="448">
        <v>6.4133333333333322</v>
      </c>
      <c r="J8" s="448">
        <v>6.4133333333333322</v>
      </c>
      <c r="K8" s="448">
        <v>6.4133333333333322</v>
      </c>
      <c r="L8" s="448">
        <v>6.4133333333333322</v>
      </c>
      <c r="M8" s="395"/>
      <c r="N8" s="263"/>
      <c r="O8" s="263"/>
      <c r="P8" s="263"/>
      <c r="Q8" s="263"/>
      <c r="R8" s="263"/>
      <c r="S8" s="263"/>
      <c r="T8" s="263"/>
      <c r="U8" s="263"/>
    </row>
    <row r="9" spans="1:21" ht="15" x14ac:dyDescent="0.25">
      <c r="A9" s="395" t="s">
        <v>681</v>
      </c>
      <c r="B9" s="415"/>
      <c r="C9" s="395"/>
      <c r="D9" s="395"/>
      <c r="E9" s="395"/>
      <c r="F9" s="395"/>
      <c r="G9" s="3" t="s">
        <v>275</v>
      </c>
      <c r="H9" s="448">
        <v>3.4444444444444446</v>
      </c>
      <c r="I9" s="448">
        <v>3.5809523809523807</v>
      </c>
      <c r="J9" s="448">
        <v>3.6841269841269844</v>
      </c>
      <c r="K9" s="448">
        <v>2.5253968253968253</v>
      </c>
      <c r="L9" s="448">
        <v>1.1412279856412046</v>
      </c>
      <c r="M9" s="395"/>
      <c r="N9" s="263"/>
      <c r="O9" s="263"/>
      <c r="P9" s="263"/>
      <c r="Q9" s="263"/>
      <c r="R9" s="263"/>
      <c r="S9" s="263"/>
      <c r="T9" s="263"/>
      <c r="U9" s="263"/>
    </row>
    <row r="10" spans="1:21" ht="15" x14ac:dyDescent="0.25">
      <c r="A10" s="395"/>
      <c r="B10" s="415"/>
      <c r="C10" s="395"/>
      <c r="D10" s="395"/>
      <c r="E10" s="395"/>
      <c r="F10" s="395"/>
      <c r="G10" s="4" t="s">
        <v>682</v>
      </c>
      <c r="H10" s="448">
        <v>0.45238095238095233</v>
      </c>
      <c r="I10" s="448">
        <v>0.51547619047619042</v>
      </c>
      <c r="J10" s="448">
        <v>1.4519841269841272</v>
      </c>
      <c r="K10" s="448">
        <v>1.571031746031746</v>
      </c>
      <c r="L10" s="448">
        <v>1.5075396825396827</v>
      </c>
      <c r="M10" s="395"/>
      <c r="N10" s="263"/>
      <c r="O10" s="263"/>
      <c r="P10" s="263"/>
      <c r="Q10" s="263"/>
      <c r="R10" s="263"/>
      <c r="S10" s="263"/>
      <c r="T10" s="263"/>
      <c r="U10" s="263"/>
    </row>
    <row r="11" spans="1:21" ht="15" x14ac:dyDescent="0.25">
      <c r="A11" s="395"/>
      <c r="B11" s="395"/>
      <c r="C11" s="395"/>
      <c r="D11" s="395"/>
      <c r="E11" s="395"/>
      <c r="F11" s="395"/>
      <c r="G11" s="3" t="s">
        <v>683</v>
      </c>
      <c r="H11" s="448">
        <v>8.587301587301587</v>
      </c>
      <c r="I11" s="448">
        <v>6.7150793650793661</v>
      </c>
      <c r="J11" s="448">
        <v>6.7150793650793661</v>
      </c>
      <c r="K11" s="448">
        <v>6.7309523809523819</v>
      </c>
      <c r="L11" s="448">
        <v>6.7309523809523819</v>
      </c>
      <c r="M11" s="395"/>
      <c r="N11" s="263"/>
      <c r="O11" s="263"/>
      <c r="P11" s="263"/>
      <c r="Q11" s="263"/>
      <c r="R11" s="263"/>
      <c r="S11" s="263"/>
      <c r="T11" s="263"/>
      <c r="U11" s="263"/>
    </row>
    <row r="12" spans="1:21" ht="15" x14ac:dyDescent="0.25">
      <c r="A12" s="395"/>
      <c r="B12" s="395"/>
      <c r="C12" s="395"/>
      <c r="D12" s="395"/>
      <c r="E12" s="395"/>
      <c r="F12" s="395"/>
      <c r="G12" s="3" t="s">
        <v>684</v>
      </c>
      <c r="H12" s="447">
        <v>3.0634920634920637</v>
      </c>
      <c r="I12" s="447">
        <v>3.0639682539682536</v>
      </c>
      <c r="J12" s="447">
        <v>3.0639682539682536</v>
      </c>
      <c r="K12" s="447">
        <v>3.0639682539682536</v>
      </c>
      <c r="L12" s="447">
        <v>3.0639682539682536</v>
      </c>
      <c r="M12" s="395"/>
      <c r="N12" s="263"/>
      <c r="O12" s="263"/>
      <c r="P12" s="263"/>
      <c r="Q12" s="263"/>
      <c r="R12" s="263"/>
      <c r="S12" s="263"/>
      <c r="T12" s="263"/>
      <c r="U12" s="263"/>
    </row>
    <row r="13" spans="1:21" ht="15" x14ac:dyDescent="0.25">
      <c r="A13" s="395" t="s">
        <v>685</v>
      </c>
      <c r="B13" s="395"/>
      <c r="C13" s="395"/>
      <c r="D13" s="395"/>
      <c r="E13" s="395"/>
      <c r="F13" s="395"/>
      <c r="G13" s="398" t="s">
        <v>686</v>
      </c>
      <c r="H13" s="447">
        <v>73.841269841269835</v>
      </c>
      <c r="I13" s="447">
        <v>26.50777359572367</v>
      </c>
      <c r="J13" s="447">
        <v>21.407040869529737</v>
      </c>
      <c r="K13" s="447">
        <v>3.0639682539682536</v>
      </c>
      <c r="L13" s="447">
        <v>3.0639682539682536</v>
      </c>
      <c r="M13" s="395"/>
      <c r="N13" s="263"/>
      <c r="O13" s="263"/>
      <c r="P13" s="263"/>
      <c r="Q13" s="263"/>
      <c r="R13" s="263"/>
      <c r="S13" s="263"/>
      <c r="T13" s="263"/>
      <c r="U13" s="263"/>
    </row>
    <row r="14" spans="1:21" ht="15" x14ac:dyDescent="0.25">
      <c r="A14" s="395" t="s">
        <v>687</v>
      </c>
      <c r="B14" s="395"/>
      <c r="C14" s="395"/>
      <c r="D14" s="395"/>
      <c r="E14" s="395"/>
      <c r="F14" s="395"/>
      <c r="G14" s="398" t="s">
        <v>688</v>
      </c>
      <c r="H14" s="448">
        <v>12.484126984126974</v>
      </c>
      <c r="I14" s="448">
        <v>17.224841269841278</v>
      </c>
      <c r="J14" s="448">
        <v>18.264523809523808</v>
      </c>
      <c r="K14" s="448">
        <v>23.990965008240906</v>
      </c>
      <c r="L14" s="448">
        <v>18.843494785247586</v>
      </c>
      <c r="M14" s="395"/>
      <c r="N14" s="263"/>
      <c r="O14" s="263"/>
      <c r="P14" s="263"/>
      <c r="Q14" s="263"/>
      <c r="R14" s="263"/>
      <c r="S14" s="263"/>
      <c r="T14" s="263"/>
      <c r="U14" s="263"/>
    </row>
    <row r="15" spans="1:21" ht="15" x14ac:dyDescent="0.25">
      <c r="A15" s="395" t="s">
        <v>689</v>
      </c>
      <c r="B15" s="395"/>
      <c r="C15" s="395"/>
      <c r="D15" s="395"/>
      <c r="E15" s="395"/>
      <c r="F15" s="395"/>
      <c r="G15" s="398" t="s">
        <v>690</v>
      </c>
      <c r="H15" s="449">
        <v>86.325396825396808</v>
      </c>
      <c r="I15" s="449">
        <v>43.732614865564948</v>
      </c>
      <c r="J15" s="449">
        <v>39.671564679053546</v>
      </c>
      <c r="K15" s="449">
        <v>27.054933262209161</v>
      </c>
      <c r="L15" s="449">
        <v>21.907463039215841</v>
      </c>
      <c r="M15" s="395"/>
      <c r="N15" s="263"/>
      <c r="O15" s="395"/>
      <c r="P15" s="395"/>
      <c r="Q15" s="263"/>
      <c r="R15" s="263"/>
      <c r="S15" s="263"/>
      <c r="T15" s="263"/>
      <c r="U15" s="263"/>
    </row>
    <row r="16" spans="1:21" ht="15" x14ac:dyDescent="0.25">
      <c r="A16" s="395"/>
      <c r="B16" s="395"/>
      <c r="C16" s="395"/>
      <c r="D16" s="395"/>
      <c r="E16" s="395"/>
      <c r="F16" s="395"/>
      <c r="G16" s="395"/>
      <c r="H16" s="395"/>
      <c r="I16" s="395"/>
      <c r="J16" s="395"/>
      <c r="K16" s="395"/>
      <c r="L16" s="395"/>
      <c r="M16" s="395"/>
      <c r="N16" s="263"/>
      <c r="O16" s="395"/>
      <c r="P16" s="395"/>
      <c r="Q16" s="263"/>
      <c r="R16" s="263"/>
      <c r="S16" s="263"/>
      <c r="T16" s="263"/>
      <c r="U16" s="263"/>
    </row>
    <row r="17" spans="1:29" x14ac:dyDescent="0.2">
      <c r="A17" s="395"/>
      <c r="B17" s="395"/>
      <c r="C17" s="395"/>
      <c r="D17" s="395"/>
      <c r="E17" s="395"/>
      <c r="F17" s="395"/>
      <c r="G17" s="395"/>
      <c r="H17" s="395"/>
      <c r="I17" s="417">
        <f>SUM(J22:J23)/SUM(I22:I23,I26)</f>
        <v>0.33255941494933328</v>
      </c>
      <c r="J17" s="417"/>
      <c r="K17" s="417"/>
      <c r="L17" s="417"/>
      <c r="M17" s="417"/>
      <c r="N17" s="417"/>
      <c r="O17" s="417" t="e">
        <f>SUM(P22:P23)/SUM(O22:O23,O26)</f>
        <v>#REF!</v>
      </c>
      <c r="P17" s="417"/>
      <c r="Q17" s="417"/>
      <c r="R17" s="417"/>
      <c r="S17" s="417"/>
      <c r="T17" s="417"/>
      <c r="U17" s="417" t="e">
        <f>SUM(V22:V23)/SUM(U22:U23,U26)</f>
        <v>#REF!</v>
      </c>
      <c r="V17" s="417"/>
      <c r="W17" s="417"/>
      <c r="X17" s="417"/>
      <c r="Y17" s="417"/>
      <c r="Z17" s="417"/>
      <c r="AA17" s="417" t="e">
        <f>SUM(AB22:AB23)/SUM(AA22:AA23,AA26)</f>
        <v>#REF!</v>
      </c>
      <c r="AB17" s="395"/>
      <c r="AC17" s="395"/>
    </row>
    <row r="18" spans="1:29" x14ac:dyDescent="0.2">
      <c r="A18" s="395"/>
      <c r="B18" s="395"/>
      <c r="C18" s="395"/>
      <c r="D18" s="395"/>
      <c r="E18" s="395"/>
      <c r="F18" s="395" t="s">
        <v>691</v>
      </c>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row>
    <row r="19" spans="1:29" ht="12.75" customHeight="1" x14ac:dyDescent="0.2">
      <c r="A19" s="395"/>
      <c r="B19" s="395"/>
      <c r="C19" s="395"/>
      <c r="D19" s="395"/>
      <c r="E19" s="395"/>
      <c r="F19" s="395"/>
      <c r="G19" s="5" t="s">
        <v>692</v>
      </c>
      <c r="H19" s="183" t="s">
        <v>409</v>
      </c>
      <c r="I19" s="183" t="s">
        <v>409</v>
      </c>
      <c r="J19" s="183" t="s">
        <v>409</v>
      </c>
      <c r="K19" s="183" t="s">
        <v>409</v>
      </c>
      <c r="L19" s="395"/>
      <c r="M19" s="5" t="s">
        <v>692</v>
      </c>
      <c r="N19" s="186" t="s">
        <v>418</v>
      </c>
      <c r="O19" s="186" t="s">
        <v>418</v>
      </c>
      <c r="P19" s="186" t="s">
        <v>418</v>
      </c>
      <c r="Q19" s="186" t="s">
        <v>418</v>
      </c>
      <c r="R19" s="395"/>
      <c r="S19" s="5" t="s">
        <v>692</v>
      </c>
      <c r="T19" s="185" t="s">
        <v>405</v>
      </c>
      <c r="U19" s="185" t="s">
        <v>405</v>
      </c>
      <c r="V19" s="185" t="s">
        <v>405</v>
      </c>
      <c r="W19" s="185" t="s">
        <v>405</v>
      </c>
      <c r="X19" s="395"/>
      <c r="Y19" s="5" t="s">
        <v>692</v>
      </c>
      <c r="Z19" s="185" t="s">
        <v>693</v>
      </c>
      <c r="AA19" s="185" t="s">
        <v>693</v>
      </c>
      <c r="AB19" s="185" t="s">
        <v>693</v>
      </c>
      <c r="AC19" s="185" t="s">
        <v>693</v>
      </c>
    </row>
    <row r="20" spans="1:29" ht="25.5" x14ac:dyDescent="0.2">
      <c r="A20" s="395"/>
      <c r="B20" s="395"/>
      <c r="C20" s="395"/>
      <c r="D20" s="395"/>
      <c r="E20" s="395"/>
      <c r="F20" s="395"/>
      <c r="G20" s="5" t="s">
        <v>694</v>
      </c>
      <c r="H20" s="183"/>
      <c r="I20" s="12" t="s">
        <v>695</v>
      </c>
      <c r="J20" s="12" t="s">
        <v>696</v>
      </c>
      <c r="K20" s="13" t="s">
        <v>697</v>
      </c>
      <c r="L20" s="395"/>
      <c r="M20" s="5" t="s">
        <v>694</v>
      </c>
      <c r="N20" s="184"/>
      <c r="O20" s="12" t="s">
        <v>698</v>
      </c>
      <c r="P20" s="12" t="s">
        <v>696</v>
      </c>
      <c r="Q20" s="13" t="s">
        <v>697</v>
      </c>
      <c r="R20" s="395"/>
      <c r="S20" s="5" t="s">
        <v>694</v>
      </c>
      <c r="T20" s="185"/>
      <c r="U20" s="12" t="s">
        <v>698</v>
      </c>
      <c r="V20" s="12" t="s">
        <v>696</v>
      </c>
      <c r="W20" s="13" t="s">
        <v>697</v>
      </c>
      <c r="X20" s="395"/>
      <c r="Y20" s="5" t="s">
        <v>694</v>
      </c>
      <c r="Z20" s="185"/>
      <c r="AA20" s="12" t="s">
        <v>698</v>
      </c>
      <c r="AB20" s="12" t="s">
        <v>696</v>
      </c>
      <c r="AC20" s="13" t="s">
        <v>697</v>
      </c>
    </row>
    <row r="21" spans="1:29" ht="25.5" x14ac:dyDescent="0.2">
      <c r="A21" s="395"/>
      <c r="B21" s="395"/>
      <c r="C21" s="395"/>
      <c r="D21" s="395"/>
      <c r="E21" s="395"/>
      <c r="F21" s="395"/>
      <c r="G21" s="6" t="s">
        <v>699</v>
      </c>
      <c r="H21" s="6" t="s">
        <v>700</v>
      </c>
      <c r="I21" s="6">
        <v>1</v>
      </c>
      <c r="J21" s="6">
        <v>2</v>
      </c>
      <c r="K21" s="6">
        <v>3</v>
      </c>
      <c r="L21" s="395"/>
      <c r="M21" s="6" t="s">
        <v>699</v>
      </c>
      <c r="N21" s="6" t="s">
        <v>700</v>
      </c>
      <c r="O21" s="6">
        <v>1</v>
      </c>
      <c r="P21" s="6">
        <v>2</v>
      </c>
      <c r="Q21" s="6">
        <v>3</v>
      </c>
      <c r="R21" s="395"/>
      <c r="S21" s="6" t="s">
        <v>699</v>
      </c>
      <c r="T21" s="6" t="s">
        <v>700</v>
      </c>
      <c r="U21" s="6">
        <v>1</v>
      </c>
      <c r="V21" s="6">
        <v>2</v>
      </c>
      <c r="W21" s="6">
        <v>3</v>
      </c>
      <c r="X21" s="395"/>
      <c r="Y21" s="6" t="s">
        <v>699</v>
      </c>
      <c r="Z21" s="6" t="s">
        <v>700</v>
      </c>
      <c r="AA21" s="6">
        <v>1</v>
      </c>
      <c r="AB21" s="6">
        <v>2</v>
      </c>
      <c r="AC21" s="6">
        <v>3</v>
      </c>
    </row>
    <row r="22" spans="1:29" x14ac:dyDescent="0.2">
      <c r="A22" s="395"/>
      <c r="B22" s="395"/>
      <c r="C22" s="395"/>
      <c r="D22" s="395"/>
      <c r="E22" s="395"/>
      <c r="F22" s="395"/>
      <c r="G22" s="6" t="s">
        <v>274</v>
      </c>
      <c r="H22" s="9">
        <f t="shared" ref="H22:I24" si="0">H7</f>
        <v>47.873015873015873</v>
      </c>
      <c r="I22" s="9">
        <f t="shared" si="0"/>
        <v>23.443805341755418</v>
      </c>
      <c r="J22" s="187">
        <f>I22*'Electrification of Gas End Uses'!$D$4</f>
        <v>7.5020177093617342</v>
      </c>
      <c r="K22" s="187" t="e">
        <f>#REF!*(1+#REF!)/'Electrification of Gas End Uses'!D12</f>
        <v>#REF!</v>
      </c>
      <c r="L22" s="395"/>
      <c r="M22" s="6" t="s">
        <v>274</v>
      </c>
      <c r="N22" s="17">
        <v>15</v>
      </c>
      <c r="O22" s="9" t="e">
        <f>N22*(1-#REF!)</f>
        <v>#REF!</v>
      </c>
      <c r="P22" s="187" t="e">
        <f>O22*'Electrification of Gas End Uses'!$D$4</f>
        <v>#REF!</v>
      </c>
      <c r="Q22" s="11" t="e">
        <f>K22/J22*P22</f>
        <v>#REF!</v>
      </c>
      <c r="R22" s="395"/>
      <c r="S22" s="6" t="s">
        <v>274</v>
      </c>
      <c r="T22" s="17">
        <v>15</v>
      </c>
      <c r="U22" s="9" t="e">
        <f>O22/N22*T22</f>
        <v>#REF!</v>
      </c>
      <c r="V22" s="187" t="e">
        <f>U22*'Electrification of Gas End Uses'!$D$4</f>
        <v>#REF!</v>
      </c>
      <c r="W22" s="11" t="e">
        <f>Q22/P22*V22</f>
        <v>#REF!</v>
      </c>
      <c r="X22" s="395"/>
      <c r="Y22" s="6" t="s">
        <v>274</v>
      </c>
      <c r="Z22" s="17">
        <v>10</v>
      </c>
      <c r="AA22" s="9" t="e">
        <f>U22/T22*Z22</f>
        <v>#REF!</v>
      </c>
      <c r="AB22" s="187" t="e">
        <f>AA22*'Electrification of Gas End Uses'!$D$4</f>
        <v>#REF!</v>
      </c>
      <c r="AC22" s="11" t="e">
        <f>W22/V22*AB22</f>
        <v>#REF!</v>
      </c>
    </row>
    <row r="23" spans="1:29" x14ac:dyDescent="0.2">
      <c r="A23" s="395"/>
      <c r="B23" s="395"/>
      <c r="C23" s="395"/>
      <c r="D23" s="395"/>
      <c r="E23" s="395"/>
      <c r="F23" s="129"/>
      <c r="G23" s="6" t="s">
        <v>680</v>
      </c>
      <c r="H23" s="9">
        <f>'RECS Microdata End Uses'!E20</f>
        <v>17.767052094085397</v>
      </c>
      <c r="I23" s="9">
        <f>H23*0.8</f>
        <v>14.213641675268319</v>
      </c>
      <c r="J23" s="11">
        <f>I23*'Electrification of Gas End Uses'!$E$4</f>
        <v>5.8146715944279483</v>
      </c>
      <c r="K23" s="11">
        <f>J23</f>
        <v>5.8146715944279483</v>
      </c>
      <c r="L23" s="395"/>
      <c r="M23" s="6" t="s">
        <v>680</v>
      </c>
      <c r="N23" s="9">
        <f>$H23</f>
        <v>17.767052094085397</v>
      </c>
      <c r="O23" s="9">
        <f>N23*0.8</f>
        <v>14.213641675268319</v>
      </c>
      <c r="P23" s="11">
        <f>O23*'Electrification of Gas End Uses'!$E$4</f>
        <v>5.8146715944279483</v>
      </c>
      <c r="Q23" s="11">
        <f>$K23</f>
        <v>5.8146715944279483</v>
      </c>
      <c r="R23" s="395"/>
      <c r="S23" s="6" t="s">
        <v>680</v>
      </c>
      <c r="T23" s="9">
        <f>$H23</f>
        <v>17.767052094085397</v>
      </c>
      <c r="U23" s="9">
        <f>T23*0.8</f>
        <v>14.213641675268319</v>
      </c>
      <c r="V23" s="11">
        <f>U23*'Electrification of Gas End Uses'!$E$4</f>
        <v>5.8146715944279483</v>
      </c>
      <c r="W23" s="11">
        <f>$K23</f>
        <v>5.8146715944279483</v>
      </c>
      <c r="X23" s="395"/>
      <c r="Y23" s="6" t="s">
        <v>680</v>
      </c>
      <c r="Z23" s="9">
        <f>$H23</f>
        <v>17.767052094085397</v>
      </c>
      <c r="AA23" s="9">
        <f>Z23*0.8</f>
        <v>14.213641675268319</v>
      </c>
      <c r="AB23" s="11">
        <f>AA23*'Electrification of Gas End Uses'!$E$4</f>
        <v>5.8146715944279483</v>
      </c>
      <c r="AC23" s="11">
        <f>$K23</f>
        <v>5.8146715944279483</v>
      </c>
    </row>
    <row r="24" spans="1:29" x14ac:dyDescent="0.2">
      <c r="A24" s="395"/>
      <c r="B24" s="395"/>
      <c r="C24" s="395"/>
      <c r="D24" s="395"/>
      <c r="E24" s="395"/>
      <c r="F24" s="395"/>
      <c r="G24" s="6" t="s">
        <v>275</v>
      </c>
      <c r="H24" s="11">
        <f t="shared" si="0"/>
        <v>3.4444444444444446</v>
      </c>
      <c r="I24" s="11">
        <f t="shared" si="0"/>
        <v>3.5809523809523807</v>
      </c>
      <c r="J24" s="260">
        <f>K9</f>
        <v>2.5253968253968253</v>
      </c>
      <c r="K24" s="8" t="e">
        <f>#REF!*(1+#REF!)/'Electrification of Gas End Uses'!D12</f>
        <v>#REF!</v>
      </c>
      <c r="L24" s="395"/>
      <c r="M24" s="6" t="s">
        <v>275</v>
      </c>
      <c r="N24" s="18">
        <v>3</v>
      </c>
      <c r="O24" s="11">
        <f t="shared" ref="O24:Q26" si="1">I24</f>
        <v>3.5809523809523807</v>
      </c>
      <c r="P24" s="260">
        <f t="shared" si="1"/>
        <v>2.5253968253968253</v>
      </c>
      <c r="Q24" s="260" t="e">
        <f t="shared" si="1"/>
        <v>#REF!</v>
      </c>
      <c r="R24" s="395"/>
      <c r="S24" s="6" t="s">
        <v>275</v>
      </c>
      <c r="T24" s="18">
        <v>10</v>
      </c>
      <c r="U24" s="11">
        <f>O24/N24*T24</f>
        <v>11.936507936507937</v>
      </c>
      <c r="V24" s="260">
        <f>P24/O24*U24</f>
        <v>8.4179894179894195</v>
      </c>
      <c r="W24" s="260" t="e">
        <f>Q24/P24*V24</f>
        <v>#REF!</v>
      </c>
      <c r="X24" s="395"/>
      <c r="Y24" s="6" t="s">
        <v>275</v>
      </c>
      <c r="Z24" s="18">
        <v>3</v>
      </c>
      <c r="AA24" s="11">
        <f>$I24</f>
        <v>3.5809523809523807</v>
      </c>
      <c r="AB24" s="11">
        <f>$J24</f>
        <v>2.5253968253968253</v>
      </c>
      <c r="AC24" s="11" t="e">
        <f>$K24</f>
        <v>#REF!</v>
      </c>
    </row>
    <row r="25" spans="1:29" x14ac:dyDescent="0.2">
      <c r="A25" s="395"/>
      <c r="B25" s="395"/>
      <c r="C25" s="395"/>
      <c r="D25" s="395"/>
      <c r="E25" s="395"/>
      <c r="F25" s="129"/>
      <c r="G25" s="6" t="s">
        <v>701</v>
      </c>
      <c r="H25" s="11">
        <v>12</v>
      </c>
      <c r="I25" s="11">
        <f>I10+I11</f>
        <v>7.2305555555555561</v>
      </c>
      <c r="J25" s="11">
        <f>K10+K11</f>
        <v>8.3019841269841272</v>
      </c>
      <c r="K25" s="11">
        <f>L10+L11</f>
        <v>8.238492063492064</v>
      </c>
      <c r="L25" s="395"/>
      <c r="M25" s="6" t="s">
        <v>701</v>
      </c>
      <c r="N25" s="11">
        <v>12</v>
      </c>
      <c r="O25" s="11">
        <f t="shared" si="1"/>
        <v>7.2305555555555561</v>
      </c>
      <c r="P25" s="11">
        <f t="shared" si="1"/>
        <v>8.3019841269841272</v>
      </c>
      <c r="Q25" s="11">
        <f t="shared" si="1"/>
        <v>8.238492063492064</v>
      </c>
      <c r="R25" s="395"/>
      <c r="S25" s="6" t="s">
        <v>701</v>
      </c>
      <c r="T25" s="11">
        <v>12</v>
      </c>
      <c r="U25" s="11">
        <f t="shared" ref="U25:W26" si="2">O25</f>
        <v>7.2305555555555561</v>
      </c>
      <c r="V25" s="11">
        <f t="shared" si="2"/>
        <v>8.3019841269841272</v>
      </c>
      <c r="W25" s="11">
        <f t="shared" si="2"/>
        <v>8.238492063492064</v>
      </c>
      <c r="X25" s="395"/>
      <c r="Y25" s="6" t="s">
        <v>701</v>
      </c>
      <c r="Z25" s="11">
        <v>12</v>
      </c>
      <c r="AA25" s="11">
        <f t="shared" ref="AA25:AC26" si="3">U25</f>
        <v>7.2305555555555561</v>
      </c>
      <c r="AB25" s="11">
        <f t="shared" si="3"/>
        <v>8.3019841269841272</v>
      </c>
      <c r="AC25" s="11">
        <f t="shared" si="3"/>
        <v>8.238492063492064</v>
      </c>
    </row>
    <row r="26" spans="1:29" x14ac:dyDescent="0.2">
      <c r="A26" s="395"/>
      <c r="B26" s="395"/>
      <c r="C26" s="395"/>
      <c r="D26" s="395"/>
      <c r="E26" s="395"/>
      <c r="F26" s="395"/>
      <c r="G26" s="7" t="s">
        <v>526</v>
      </c>
      <c r="H26" s="9">
        <f>'RECS Microdata End Uses'!E8</f>
        <v>2.3855910242193104</v>
      </c>
      <c r="I26" s="9">
        <f>H26</f>
        <v>2.3855910242193104</v>
      </c>
      <c r="J26" s="9">
        <f>I26*'Electrification of Gas End Uses'!F4</f>
        <v>1.4533062836014536</v>
      </c>
      <c r="K26" s="9">
        <f>J26</f>
        <v>1.4533062836014536</v>
      </c>
      <c r="L26" s="395"/>
      <c r="M26" s="7" t="s">
        <v>526</v>
      </c>
      <c r="N26" s="9">
        <f>H26</f>
        <v>2.3855910242193104</v>
      </c>
      <c r="O26" s="9">
        <f t="shared" si="1"/>
        <v>2.3855910242193104</v>
      </c>
      <c r="P26" s="9">
        <f t="shared" si="1"/>
        <v>1.4533062836014536</v>
      </c>
      <c r="Q26" s="9">
        <f t="shared" si="1"/>
        <v>1.4533062836014536</v>
      </c>
      <c r="R26" s="395"/>
      <c r="S26" s="7" t="s">
        <v>526</v>
      </c>
      <c r="T26" s="9">
        <f>N26</f>
        <v>2.3855910242193104</v>
      </c>
      <c r="U26" s="9">
        <f t="shared" si="2"/>
        <v>2.3855910242193104</v>
      </c>
      <c r="V26" s="9">
        <f t="shared" si="2"/>
        <v>1.4533062836014536</v>
      </c>
      <c r="W26" s="9">
        <f t="shared" si="2"/>
        <v>1.4533062836014536</v>
      </c>
      <c r="X26" s="395"/>
      <c r="Y26" s="7" t="s">
        <v>526</v>
      </c>
      <c r="Z26" s="9">
        <f>T26</f>
        <v>2.3855910242193104</v>
      </c>
      <c r="AA26" s="9">
        <f t="shared" si="3"/>
        <v>2.3855910242193104</v>
      </c>
      <c r="AB26" s="9">
        <f t="shared" si="3"/>
        <v>1.4533062836014536</v>
      </c>
      <c r="AC26" s="9">
        <f t="shared" si="3"/>
        <v>1.4533062836014536</v>
      </c>
    </row>
    <row r="27" spans="1:29" x14ac:dyDescent="0.2">
      <c r="A27" s="395"/>
      <c r="B27" s="395"/>
      <c r="C27" s="395"/>
      <c r="D27" s="395"/>
      <c r="E27" s="395"/>
      <c r="F27" s="395"/>
      <c r="G27" s="7" t="s">
        <v>702</v>
      </c>
      <c r="H27" s="9">
        <f>SUM(H26,H22:H23)</f>
        <v>68.025658991320583</v>
      </c>
      <c r="I27" s="9">
        <f>SUM(I26,I22,I23)</f>
        <v>40.043038041243044</v>
      </c>
      <c r="J27" s="9">
        <v>0</v>
      </c>
      <c r="K27" s="9">
        <v>0</v>
      </c>
      <c r="L27" s="395"/>
      <c r="M27" s="7" t="s">
        <v>702</v>
      </c>
      <c r="N27" s="9">
        <f>SUM(N26,N22:N23)</f>
        <v>35.152643118304709</v>
      </c>
      <c r="O27" s="9" t="e">
        <f>SUM(O26,O22,O23)</f>
        <v>#REF!</v>
      </c>
      <c r="P27" s="9">
        <v>0</v>
      </c>
      <c r="Q27" s="9">
        <v>0</v>
      </c>
      <c r="R27" s="395"/>
      <c r="S27" s="7" t="s">
        <v>702</v>
      </c>
      <c r="T27" s="9">
        <f>SUM(T26,T22:T23)</f>
        <v>35.152643118304709</v>
      </c>
      <c r="U27" s="9" t="e">
        <f>SUM(U26,U22,U23)</f>
        <v>#REF!</v>
      </c>
      <c r="V27" s="9">
        <v>0</v>
      </c>
      <c r="W27" s="9">
        <v>0</v>
      </c>
      <c r="X27" s="395"/>
      <c r="Y27" s="7" t="s">
        <v>702</v>
      </c>
      <c r="Z27" s="9">
        <f>SUM(Z26,Z22:Z23)</f>
        <v>30.152643118304709</v>
      </c>
      <c r="AA27" s="9" t="e">
        <f>SUM(AA26,AA22,AA23)</f>
        <v>#REF!</v>
      </c>
      <c r="AB27" s="9">
        <v>0</v>
      </c>
      <c r="AC27" s="9">
        <v>0</v>
      </c>
    </row>
    <row r="28" spans="1:29" x14ac:dyDescent="0.2">
      <c r="A28" s="395"/>
      <c r="B28" s="395"/>
      <c r="C28" s="395"/>
      <c r="D28" s="395"/>
      <c r="E28" s="395"/>
      <c r="F28" s="395"/>
      <c r="G28" s="8" t="s">
        <v>703</v>
      </c>
      <c r="H28" s="11">
        <f>SUM(H24:H25)</f>
        <v>15.444444444444445</v>
      </c>
      <c r="I28" s="11">
        <f>SUM(I24:I25)</f>
        <v>10.811507936507937</v>
      </c>
      <c r="J28" s="11">
        <f>SUM(J22:J26)</f>
        <v>25.597376539772089</v>
      </c>
      <c r="K28" s="11" t="e">
        <f>SUM(K22:K26)</f>
        <v>#REF!</v>
      </c>
      <c r="L28" s="395"/>
      <c r="M28" s="8" t="s">
        <v>703</v>
      </c>
      <c r="N28" s="11">
        <f>SUM(N24:N25)</f>
        <v>15</v>
      </c>
      <c r="O28" s="11">
        <f>SUM(O24:O25)</f>
        <v>10.811507936507937</v>
      </c>
      <c r="P28" s="11" t="e">
        <f>SUM(P22:P26)</f>
        <v>#REF!</v>
      </c>
      <c r="Q28" s="11" t="e">
        <f>SUM(Q22:Q26)</f>
        <v>#REF!</v>
      </c>
      <c r="R28" s="395"/>
      <c r="S28" s="8" t="s">
        <v>703</v>
      </c>
      <c r="T28" s="11">
        <f>SUM(T24:T25)</f>
        <v>22</v>
      </c>
      <c r="U28" s="11">
        <f>SUM(U24:U25)</f>
        <v>19.167063492063491</v>
      </c>
      <c r="V28" s="11" t="e">
        <f>SUM(V22:V26)</f>
        <v>#REF!</v>
      </c>
      <c r="W28" s="11" t="e">
        <f>SUM(W22:W26)</f>
        <v>#REF!</v>
      </c>
      <c r="X28" s="395"/>
      <c r="Y28" s="8" t="s">
        <v>703</v>
      </c>
      <c r="Z28" s="11">
        <f>SUM(Z24:Z25)</f>
        <v>15</v>
      </c>
      <c r="AA28" s="11">
        <f>SUM(AA24:AA25)</f>
        <v>10.811507936507937</v>
      </c>
      <c r="AB28" s="11" t="e">
        <f>SUM(AB22:AB26)</f>
        <v>#REF!</v>
      </c>
      <c r="AC28" s="11" t="e">
        <f>SUM(AC22:AC26)</f>
        <v>#REF!</v>
      </c>
    </row>
    <row r="29" spans="1:29" x14ac:dyDescent="0.2">
      <c r="A29" s="395" t="s">
        <v>704</v>
      </c>
      <c r="B29" s="395"/>
      <c r="C29" s="395"/>
      <c r="D29" s="395"/>
      <c r="E29" s="395"/>
      <c r="F29" s="395"/>
      <c r="G29" s="5" t="s">
        <v>690</v>
      </c>
      <c r="H29" s="14">
        <f>H27+H28</f>
        <v>83.470103435765026</v>
      </c>
      <c r="I29" s="14">
        <f>I27+I28</f>
        <v>50.854545977750981</v>
      </c>
      <c r="J29" s="14">
        <f>J27+J28</f>
        <v>25.597376539772089</v>
      </c>
      <c r="K29" s="14" t="e">
        <f>K27+K28</f>
        <v>#REF!</v>
      </c>
      <c r="L29" s="395"/>
      <c r="M29" s="5" t="s">
        <v>690</v>
      </c>
      <c r="N29" s="14">
        <f>N27+N28</f>
        <v>50.152643118304709</v>
      </c>
      <c r="O29" s="14" t="e">
        <f>O27+O28</f>
        <v>#REF!</v>
      </c>
      <c r="P29" s="14" t="e">
        <f>P27+P28</f>
        <v>#REF!</v>
      </c>
      <c r="Q29" s="14" t="e">
        <f>Q27+Q28</f>
        <v>#REF!</v>
      </c>
      <c r="R29" s="395"/>
      <c r="S29" s="5" t="s">
        <v>690</v>
      </c>
      <c r="T29" s="14">
        <f>T27+T28</f>
        <v>57.152643118304709</v>
      </c>
      <c r="U29" s="14" t="e">
        <f>U27+U28</f>
        <v>#REF!</v>
      </c>
      <c r="V29" s="14" t="e">
        <f>V27+V28</f>
        <v>#REF!</v>
      </c>
      <c r="W29" s="14" t="e">
        <f>W27+W28</f>
        <v>#REF!</v>
      </c>
      <c r="X29" s="395"/>
      <c r="Y29" s="5" t="s">
        <v>690</v>
      </c>
      <c r="Z29" s="14">
        <f>Z27+Z28</f>
        <v>45.152643118304709</v>
      </c>
      <c r="AA29" s="14" t="e">
        <f>AA27+AA28</f>
        <v>#REF!</v>
      </c>
      <c r="AB29" s="14" t="e">
        <f>AB27+AB28</f>
        <v>#REF!</v>
      </c>
      <c r="AC29" s="14" t="e">
        <f>AC27+AC28</f>
        <v>#REF!</v>
      </c>
    </row>
    <row r="30" spans="1:29" x14ac:dyDescent="0.2">
      <c r="A30" s="395"/>
      <c r="B30" s="395"/>
      <c r="C30" s="395"/>
      <c r="D30" s="395"/>
      <c r="E30" s="395"/>
      <c r="F30" s="395"/>
      <c r="G30" s="395" t="s">
        <v>705</v>
      </c>
      <c r="H30" s="91">
        <v>17</v>
      </c>
      <c r="I30" s="395"/>
      <c r="J30" s="395"/>
      <c r="K30" s="395"/>
      <c r="L30" s="395"/>
      <c r="M30" s="395"/>
      <c r="N30" s="395"/>
      <c r="O30" s="395"/>
      <c r="P30" s="395"/>
      <c r="Q30" s="395"/>
      <c r="R30" s="395"/>
      <c r="S30" s="395"/>
      <c r="T30" s="395"/>
      <c r="U30" s="395"/>
      <c r="V30" s="395"/>
      <c r="W30" s="395"/>
      <c r="X30" s="395"/>
      <c r="Y30" s="395"/>
      <c r="Z30" s="395"/>
      <c r="AA30" s="395"/>
      <c r="AB30" s="395"/>
      <c r="AC30" s="395"/>
    </row>
    <row r="31" spans="1:29" ht="15" x14ac:dyDescent="0.25">
      <c r="A31" s="395"/>
      <c r="B31" s="395"/>
      <c r="C31" s="395"/>
      <c r="D31" s="395"/>
      <c r="E31" s="395"/>
      <c r="F31" s="395"/>
      <c r="G31" s="395"/>
      <c r="H31" s="395"/>
      <c r="I31" s="395"/>
      <c r="J31" s="395"/>
      <c r="K31" s="395"/>
      <c r="L31" s="395"/>
      <c r="M31" s="395" t="s">
        <v>706</v>
      </c>
      <c r="N31" s="263"/>
      <c r="O31" s="395"/>
      <c r="P31" s="395"/>
      <c r="Q31" s="395"/>
      <c r="R31" s="395"/>
      <c r="S31" s="395"/>
      <c r="T31" s="395"/>
      <c r="U31" s="395"/>
      <c r="V31" s="395"/>
      <c r="W31" s="395"/>
      <c r="X31" s="395"/>
      <c r="Y31" s="395"/>
      <c r="Z31" s="395"/>
      <c r="AA31" s="395"/>
      <c r="AB31" s="395"/>
      <c r="AC31" s="395"/>
    </row>
    <row r="32" spans="1:29" ht="15" x14ac:dyDescent="0.25">
      <c r="A32" s="395"/>
      <c r="B32" s="395"/>
      <c r="C32" s="395"/>
      <c r="D32" s="395"/>
      <c r="E32" s="395"/>
      <c r="F32" s="395"/>
      <c r="G32" s="395"/>
      <c r="H32" s="395"/>
      <c r="I32" s="395"/>
      <c r="J32" s="395"/>
      <c r="K32" s="395"/>
      <c r="L32" s="395"/>
      <c r="M32" s="24" t="str">
        <f>'Prev Seattle Targets ref'!A4</f>
        <v>Multifamily (4-6)</v>
      </c>
      <c r="N32" s="24">
        <f>'Prev Seattle Targets ref'!B4</f>
        <v>20</v>
      </c>
      <c r="O32" s="395"/>
      <c r="P32" s="395"/>
      <c r="Q32" s="395"/>
      <c r="R32" s="395"/>
      <c r="S32" s="395"/>
      <c r="T32" s="395"/>
      <c r="U32" s="395"/>
      <c r="V32" s="395"/>
      <c r="W32" s="395"/>
      <c r="X32" s="395"/>
      <c r="Y32" s="395"/>
      <c r="Z32" s="395"/>
      <c r="AA32" s="395"/>
      <c r="AB32" s="395"/>
      <c r="AC32" s="395"/>
    </row>
    <row r="33" spans="1:29" x14ac:dyDescent="0.2">
      <c r="A33" s="395" t="s">
        <v>707</v>
      </c>
      <c r="B33" s="395"/>
      <c r="C33" s="395"/>
      <c r="D33" s="395"/>
      <c r="E33" s="395"/>
      <c r="F33" s="395"/>
      <c r="G33" s="395"/>
      <c r="H33" s="395"/>
      <c r="I33" s="395"/>
      <c r="J33" s="395"/>
      <c r="K33" s="395"/>
      <c r="L33" s="395"/>
      <c r="M33" s="444" t="str">
        <f>'Prev Seattle Targets ref'!A5</f>
        <v>Multifamily (7+)</v>
      </c>
      <c r="N33" s="444">
        <f>'Prev Seattle Targets ref'!B5</f>
        <v>25</v>
      </c>
      <c r="O33" s="395"/>
      <c r="P33" s="395"/>
      <c r="Q33" s="395"/>
      <c r="R33" s="395"/>
      <c r="S33" s="395"/>
      <c r="T33" s="395"/>
      <c r="U33" s="395"/>
      <c r="V33" s="395"/>
      <c r="W33" s="395"/>
      <c r="X33" s="395"/>
      <c r="Y33" s="395"/>
      <c r="Z33" s="395"/>
      <c r="AA33" s="395"/>
      <c r="AB33" s="395"/>
      <c r="AC33" s="395"/>
    </row>
    <row r="34" spans="1:29" ht="13.5" thickBot="1" x14ac:dyDescent="0.25">
      <c r="A34" s="395" t="s">
        <v>708</v>
      </c>
      <c r="B34" s="395"/>
      <c r="C34" s="395"/>
      <c r="D34" s="395"/>
      <c r="E34" s="395"/>
      <c r="F34" s="395"/>
      <c r="G34" s="395" t="s">
        <v>409</v>
      </c>
      <c r="H34" s="395"/>
      <c r="I34" s="395"/>
      <c r="J34" s="395"/>
      <c r="K34" s="395"/>
      <c r="L34" s="395"/>
      <c r="M34" s="395" t="s">
        <v>418</v>
      </c>
      <c r="N34" s="395"/>
      <c r="O34" s="395"/>
      <c r="P34" s="395"/>
      <c r="Q34" s="395"/>
      <c r="R34" s="395"/>
      <c r="S34" s="395" t="s">
        <v>405</v>
      </c>
      <c r="T34" s="395"/>
      <c r="U34" s="395"/>
      <c r="V34" s="395"/>
      <c r="W34" s="395"/>
      <c r="X34" s="395"/>
      <c r="Y34" s="395" t="s">
        <v>693</v>
      </c>
      <c r="Z34" s="395"/>
      <c r="AA34" s="395"/>
      <c r="AB34" s="395"/>
      <c r="AC34" s="395"/>
    </row>
    <row r="35" spans="1:29" x14ac:dyDescent="0.2">
      <c r="A35" s="395" t="s">
        <v>709</v>
      </c>
      <c r="B35" s="395"/>
      <c r="C35" s="395"/>
      <c r="D35" s="395"/>
      <c r="E35" s="395"/>
      <c r="F35" s="450">
        <v>2019</v>
      </c>
      <c r="G35" s="188" t="s">
        <v>710</v>
      </c>
      <c r="H35" s="189">
        <f>H$27*'GHG Coefficient Lookup'!$AE$9/1000</f>
        <v>3.6128427490290358</v>
      </c>
      <c r="I35" s="189">
        <f>I$27*'GHG Coefficient Lookup'!$AE$9/1000</f>
        <v>2.1266857503704184</v>
      </c>
      <c r="J35" s="189">
        <f>J$27*'GHG Coefficient Lookup'!$AE$9/1000</f>
        <v>0</v>
      </c>
      <c r="K35" s="189">
        <f>K$27*'GHG Coefficient Lookup'!$AE$9/1000</f>
        <v>0</v>
      </c>
      <c r="L35" s="451"/>
      <c r="M35" s="188" t="s">
        <v>710</v>
      </c>
      <c r="N35" s="189">
        <f>N$27*'GHG Coefficient Lookup'!$AE$9/1000</f>
        <v>1.8669568760131632</v>
      </c>
      <c r="O35" s="189" t="e">
        <f>O$27*'GHG Coefficient Lookup'!$AE$9/1000</f>
        <v>#REF!</v>
      </c>
      <c r="P35" s="189">
        <f>P$27*'GHG Coefficient Lookup'!$AE$9/1000</f>
        <v>0</v>
      </c>
      <c r="Q35" s="189">
        <f>Q$27*'GHG Coefficient Lookup'!$AE$9/1000</f>
        <v>0</v>
      </c>
      <c r="R35" s="451"/>
      <c r="S35" s="188" t="s">
        <v>710</v>
      </c>
      <c r="T35" s="189">
        <f>T$27*'GHG Coefficient Lookup'!$AE$9/1000</f>
        <v>1.8669568760131632</v>
      </c>
      <c r="U35" s="189" t="e">
        <f>U$27*'GHG Coefficient Lookup'!$AE$9/1000</f>
        <v>#REF!</v>
      </c>
      <c r="V35" s="189">
        <f>V$27*'GHG Coefficient Lookup'!$AE$9/1000</f>
        <v>0</v>
      </c>
      <c r="W35" s="189">
        <f>W$27*'GHG Coefficient Lookup'!$AE$9/1000</f>
        <v>0</v>
      </c>
      <c r="X35" s="451"/>
      <c r="Y35" s="188" t="s">
        <v>710</v>
      </c>
      <c r="Z35" s="189">
        <f>Z$27*'GHG Coefficient Lookup'!$AE$9/1000</f>
        <v>1.6014068760131632</v>
      </c>
      <c r="AA35" s="189" t="e">
        <f>AA$27*'GHG Coefficient Lookup'!$AE$9/1000</f>
        <v>#REF!</v>
      </c>
      <c r="AB35" s="189">
        <f>AB$27*'GHG Coefficient Lookup'!$AE$9/1000</f>
        <v>0</v>
      </c>
      <c r="AC35" s="190">
        <f>AC$27*'GHG Coefficient Lookup'!$AE$9/1000</f>
        <v>0</v>
      </c>
    </row>
    <row r="36" spans="1:29" x14ac:dyDescent="0.2">
      <c r="A36" s="395"/>
      <c r="B36" s="395"/>
      <c r="C36" s="395"/>
      <c r="D36" s="395"/>
      <c r="E36" s="395"/>
      <c r="F36" s="429"/>
      <c r="G36" s="8" t="s">
        <v>711</v>
      </c>
      <c r="H36" s="187">
        <f>VLOOKUP(H$19,'GHG Coefficient Lookup'!$AD$3:$AL$6,8,FALSE)*'MF-Old-Tall'!H$28</f>
        <v>1.1737777777777778</v>
      </c>
      <c r="I36" s="187">
        <f>VLOOKUP(I$19,'GHG Coefficient Lookup'!$AD$3:$AL$6,8,FALSE)*'MF-Old-Tall'!I$28</f>
        <v>0.82167460317460317</v>
      </c>
      <c r="J36" s="187">
        <f>VLOOKUP(J$19,'GHG Coefficient Lookup'!$AD$3:$AL$6,8,FALSE)*'MF-Old-Tall'!J$28</f>
        <v>1.9454006170226787</v>
      </c>
      <c r="K36" s="187" t="e">
        <f>VLOOKUP(K$19,'GHG Coefficient Lookup'!$AD$3:$AL$6,8,FALSE)*'MF-Old-Tall'!K$28</f>
        <v>#REF!</v>
      </c>
      <c r="L36" s="452"/>
      <c r="M36" s="8" t="s">
        <v>711</v>
      </c>
      <c r="N36" s="187">
        <f>VLOOKUP(N$19,'GHG Coefficient Lookup'!$AD$3:$AL$6,8,FALSE)*'MF-Old-Tall'!N$28</f>
        <v>4.0433723980285982E-2</v>
      </c>
      <c r="O36" s="187">
        <f>VLOOKUP(O$19,'GHG Coefficient Lookup'!$AD$3:$AL$6,8,FALSE)*'MF-Old-Tall'!O$28</f>
        <v>2.9143301847695546E-2</v>
      </c>
      <c r="P36" s="187" t="e">
        <f>VLOOKUP(P$19,'GHG Coefficient Lookup'!$AD$3:$AL$6,8,FALSE)*'MF-Old-Tall'!P$28</f>
        <v>#REF!</v>
      </c>
      <c r="Q36" s="187" t="e">
        <f>VLOOKUP(Q$19,'GHG Coefficient Lookup'!$AD$3:$AL$6,8,FALSE)*'MF-Old-Tall'!Q$28</f>
        <v>#REF!</v>
      </c>
      <c r="R36" s="452"/>
      <c r="S36" s="8" t="s">
        <v>711</v>
      </c>
      <c r="T36" s="187">
        <f>VLOOKUP(T$19,'GHG Coefficient Lookup'!$AD$3:$AL$6,8,FALSE)*'MF-Old-Tall'!T$28</f>
        <v>4.2149165410595657</v>
      </c>
      <c r="U36" s="187">
        <f>VLOOKUP(U$19,'GHG Coefficient Lookup'!$AD$3:$AL$6,8,FALSE)*'MF-Old-Tall'!U$28</f>
        <v>3.6721624071016965</v>
      </c>
      <c r="V36" s="187" t="e">
        <f>VLOOKUP(V$19,'GHG Coefficient Lookup'!$AD$3:$AL$6,8,FALSE)*'MF-Old-Tall'!V$28</f>
        <v>#REF!</v>
      </c>
      <c r="W36" s="187" t="e">
        <f>VLOOKUP(W$19,'GHG Coefficient Lookup'!$AD$3:$AL$6,8,FALSE)*'MF-Old-Tall'!W$28</f>
        <v>#REF!</v>
      </c>
      <c r="X36" s="452"/>
      <c r="Y36" s="8" t="s">
        <v>711</v>
      </c>
      <c r="Z36" s="187" t="e">
        <f>VLOOKUP(Z$19,'GHG Coefficient Lookup'!$AD$3:$AL$6,8,FALSE)*'MF-Old-Tall'!Z$28</f>
        <v>#N/A</v>
      </c>
      <c r="AA36" s="187" t="e">
        <f>VLOOKUP(AA$19,'GHG Coefficient Lookup'!$AD$3:$AL$6,8,FALSE)*'MF-Old-Tall'!AA$28</f>
        <v>#N/A</v>
      </c>
      <c r="AB36" s="187" t="e">
        <f>VLOOKUP(AB$19,'GHG Coefficient Lookup'!$AD$3:$AL$6,8,FALSE)*'MF-Old-Tall'!AB$28</f>
        <v>#N/A</v>
      </c>
      <c r="AC36" s="191" t="e">
        <f>VLOOKUP(AC$19,'GHG Coefficient Lookup'!$AD$3:$AL$6,8,FALSE)*'MF-Old-Tall'!AC$28</f>
        <v>#N/A</v>
      </c>
    </row>
    <row r="37" spans="1:29" ht="13.5" thickBot="1" x14ac:dyDescent="0.25">
      <c r="A37" s="395"/>
      <c r="B37" s="395"/>
      <c r="C37" s="395"/>
      <c r="D37" s="395"/>
      <c r="E37" s="395"/>
      <c r="F37" s="432"/>
      <c r="G37" s="453" t="s">
        <v>712</v>
      </c>
      <c r="H37" s="454">
        <f>H36+H35</f>
        <v>4.7866205268068134</v>
      </c>
      <c r="I37" s="454">
        <f>I36+I35</f>
        <v>2.9483603535450218</v>
      </c>
      <c r="J37" s="454">
        <f>J36+J35</f>
        <v>1.9454006170226787</v>
      </c>
      <c r="K37" s="454" t="e">
        <f>K36+K35</f>
        <v>#REF!</v>
      </c>
      <c r="L37" s="455"/>
      <c r="M37" s="453" t="s">
        <v>712</v>
      </c>
      <c r="N37" s="454">
        <f>N36+N35</f>
        <v>1.9073905999934491</v>
      </c>
      <c r="O37" s="454" t="e">
        <f>O36+O35</f>
        <v>#REF!</v>
      </c>
      <c r="P37" s="454" t="e">
        <f>P36+P35</f>
        <v>#REF!</v>
      </c>
      <c r="Q37" s="454" t="e">
        <f>Q36+Q35</f>
        <v>#REF!</v>
      </c>
      <c r="R37" s="455"/>
      <c r="S37" s="453" t="s">
        <v>712</v>
      </c>
      <c r="T37" s="454">
        <f>T36+T35</f>
        <v>6.0818734170727291</v>
      </c>
      <c r="U37" s="454" t="e">
        <f>U36+U35</f>
        <v>#REF!</v>
      </c>
      <c r="V37" s="454" t="e">
        <f>V36+V35</f>
        <v>#REF!</v>
      </c>
      <c r="W37" s="454" t="e">
        <f>W36+W35</f>
        <v>#REF!</v>
      </c>
      <c r="X37" s="455"/>
      <c r="Y37" s="453" t="s">
        <v>712</v>
      </c>
      <c r="Z37" s="454" t="e">
        <f>Z36+Z35</f>
        <v>#N/A</v>
      </c>
      <c r="AA37" s="454" t="e">
        <f>AA36+AA35</f>
        <v>#N/A</v>
      </c>
      <c r="AB37" s="454" t="e">
        <f>AB36+AB35</f>
        <v>#N/A</v>
      </c>
      <c r="AC37" s="456" t="e">
        <f>AC36+AC35</f>
        <v>#N/A</v>
      </c>
    </row>
    <row r="38" spans="1:29" x14ac:dyDescent="0.2">
      <c r="A38" s="395"/>
      <c r="B38" s="395"/>
      <c r="C38" s="395"/>
      <c r="D38" s="395"/>
      <c r="E38" s="395"/>
      <c r="F38" s="457">
        <v>2050</v>
      </c>
      <c r="G38" s="188" t="s">
        <v>710</v>
      </c>
      <c r="H38" s="189">
        <f>H$27*'GHG Coefficient Lookup'!$AE$9/1000</f>
        <v>3.6128427490290358</v>
      </c>
      <c r="I38" s="189">
        <f>I$27*'GHG Coefficient Lookup'!$AE$9/1000</f>
        <v>2.1266857503704184</v>
      </c>
      <c r="J38" s="189">
        <f>J$27*'GHG Coefficient Lookup'!$AE$9/1000</f>
        <v>0</v>
      </c>
      <c r="K38" s="189">
        <f>K$27*'GHG Coefficient Lookup'!$AE$9/1000</f>
        <v>0</v>
      </c>
      <c r="L38" s="451"/>
      <c r="M38" s="188" t="s">
        <v>710</v>
      </c>
      <c r="N38" s="189">
        <f>N$27*'GHG Coefficient Lookup'!$AE$9/1000</f>
        <v>1.8669568760131632</v>
      </c>
      <c r="O38" s="189" t="e">
        <f>O$27*'GHG Coefficient Lookup'!$AE$9/1000</f>
        <v>#REF!</v>
      </c>
      <c r="P38" s="189">
        <f>P$27*'GHG Coefficient Lookup'!$AE$9/1000</f>
        <v>0</v>
      </c>
      <c r="Q38" s="189">
        <f>Q$27*'GHG Coefficient Lookup'!$AE$9/1000</f>
        <v>0</v>
      </c>
      <c r="R38" s="451"/>
      <c r="S38" s="188" t="s">
        <v>710</v>
      </c>
      <c r="T38" s="189">
        <f>T$27*'GHG Coefficient Lookup'!$AE$9/1000</f>
        <v>1.8669568760131632</v>
      </c>
      <c r="U38" s="189" t="e">
        <f>U$27*'GHG Coefficient Lookup'!$AE$9/1000</f>
        <v>#REF!</v>
      </c>
      <c r="V38" s="189">
        <f>V$27*'GHG Coefficient Lookup'!$AE$9/1000</f>
        <v>0</v>
      </c>
      <c r="W38" s="189">
        <f>W$27*'GHG Coefficient Lookup'!$AE$9/1000</f>
        <v>0</v>
      </c>
      <c r="X38" s="451"/>
      <c r="Y38" s="188" t="s">
        <v>710</v>
      </c>
      <c r="Z38" s="189">
        <f>Z$27*'GHG Coefficient Lookup'!$AE$9/1000</f>
        <v>1.6014068760131632</v>
      </c>
      <c r="AA38" s="189" t="e">
        <f>AA$27*'GHG Coefficient Lookup'!$AE$9/1000</f>
        <v>#REF!</v>
      </c>
      <c r="AB38" s="189">
        <f>AB$27*'GHG Coefficient Lookup'!$AE$9/1000</f>
        <v>0</v>
      </c>
      <c r="AC38" s="190">
        <f>AC$27*'GHG Coefficient Lookup'!$AE$9/1000</f>
        <v>0</v>
      </c>
    </row>
    <row r="39" spans="1:29" x14ac:dyDescent="0.2">
      <c r="A39" s="395"/>
      <c r="B39" s="395"/>
      <c r="C39" s="395"/>
      <c r="D39" s="395"/>
      <c r="E39" s="395"/>
      <c r="F39" s="458" t="s">
        <v>713</v>
      </c>
      <c r="G39" s="8" t="s">
        <v>711</v>
      </c>
      <c r="H39" s="187">
        <f>VLOOKUP(H$19,'GHG Coefficient Lookup'!$AD$3:$AL$6,9,FALSE)*'MF-Old-Tall'!H$28</f>
        <v>4.1631760246368534E-2</v>
      </c>
      <c r="I39" s="187">
        <f>VLOOKUP(I$19,'GHG Coefficient Lookup'!$AD$3:$AL$6,9,FALSE)*'MF-Old-Tall'!I$28</f>
        <v>2.9143301847695546E-2</v>
      </c>
      <c r="J39" s="187">
        <f>VLOOKUP(J$19,'GHG Coefficient Lookup'!$AD$3:$AL$6,9,FALSE)*'MF-Old-Tall'!J$28</f>
        <v>6.8999817175239508E-2</v>
      </c>
      <c r="K39" s="187" t="e">
        <f>VLOOKUP(K$19,'GHG Coefficient Lookup'!$AD$3:$AL$6,9,FALSE)*'MF-Old-Tall'!K$28</f>
        <v>#REF!</v>
      </c>
      <c r="L39" s="452"/>
      <c r="M39" s="8" t="s">
        <v>711</v>
      </c>
      <c r="N39" s="187">
        <f>VLOOKUP(N$19,'GHG Coefficient Lookup'!$AD$3:$AL$6,9,FALSE)*'MF-Old-Tall'!N$28</f>
        <v>4.0433723980285982E-2</v>
      </c>
      <c r="O39" s="187">
        <f>VLOOKUP(O$19,'GHG Coefficient Lookup'!$AD$3:$AL$6,9,FALSE)*'MF-Old-Tall'!O$28</f>
        <v>2.9143301847695546E-2</v>
      </c>
      <c r="P39" s="187" t="e">
        <f>VLOOKUP(P$19,'GHG Coefficient Lookup'!$AD$3:$AL$6,9,FALSE)*'MF-Old-Tall'!P$28</f>
        <v>#REF!</v>
      </c>
      <c r="Q39" s="187" t="e">
        <f>VLOOKUP(Q$19,'GHG Coefficient Lookup'!$AD$3:$AL$6,9,FALSE)*'MF-Old-Tall'!Q$28</f>
        <v>#REF!</v>
      </c>
      <c r="R39" s="452"/>
      <c r="S39" s="8" t="s">
        <v>711</v>
      </c>
      <c r="T39" s="187">
        <f>VLOOKUP(T$19,'GHG Coefficient Lookup'!$AD$3:$AL$6,9,FALSE)*'MF-Old-Tall'!T$28</f>
        <v>5.9302795171086109E-2</v>
      </c>
      <c r="U39" s="187">
        <f>VLOOKUP(U$19,'GHG Coefficient Lookup'!$AD$3:$AL$6,9,FALSE)*'MF-Old-Tall'!U$28</f>
        <v>5.1666383650047443E-2</v>
      </c>
      <c r="V39" s="187" t="e">
        <f>VLOOKUP(V$19,'GHG Coefficient Lookup'!$AD$3:$AL$6,9,FALSE)*'MF-Old-Tall'!V$28</f>
        <v>#REF!</v>
      </c>
      <c r="W39" s="187" t="e">
        <f>VLOOKUP(W$19,'GHG Coefficient Lookup'!$AD$3:$AL$6,9,FALSE)*'MF-Old-Tall'!W$28</f>
        <v>#REF!</v>
      </c>
      <c r="X39" s="452"/>
      <c r="Y39" s="8" t="s">
        <v>711</v>
      </c>
      <c r="Z39" s="187" t="e">
        <f>VLOOKUP(Z$19,'GHG Coefficient Lookup'!$AD$3:$AL$6,9,FALSE)*'MF-Old-Tall'!Z$28</f>
        <v>#N/A</v>
      </c>
      <c r="AA39" s="187" t="e">
        <f>VLOOKUP(AA$19,'GHG Coefficient Lookup'!$AD$3:$AL$6,9,FALSE)*'MF-Old-Tall'!AA$28</f>
        <v>#N/A</v>
      </c>
      <c r="AB39" s="187" t="e">
        <f>VLOOKUP(AB$19,'GHG Coefficient Lookup'!$AD$3:$AL$6,9,FALSE)*'MF-Old-Tall'!AB$28</f>
        <v>#N/A</v>
      </c>
      <c r="AC39" s="191" t="e">
        <f>VLOOKUP(AC$19,'GHG Coefficient Lookup'!$AD$3:$AL$6,9,FALSE)*'MF-Old-Tall'!AC$28</f>
        <v>#N/A</v>
      </c>
    </row>
    <row r="40" spans="1:29" ht="13.5" thickBot="1" x14ac:dyDescent="0.25">
      <c r="A40" s="395"/>
      <c r="B40" s="395"/>
      <c r="C40" s="395"/>
      <c r="D40" s="395"/>
      <c r="E40" s="395"/>
      <c r="F40" s="432"/>
      <c r="G40" s="453" t="s">
        <v>712</v>
      </c>
      <c r="H40" s="454">
        <f>H39+H38</f>
        <v>3.6544745092754045</v>
      </c>
      <c r="I40" s="454">
        <f>I39+I38</f>
        <v>2.1558290522181141</v>
      </c>
      <c r="J40" s="454">
        <f>J39+J38</f>
        <v>6.8999817175239508E-2</v>
      </c>
      <c r="K40" s="454" t="e">
        <f>K39+K38</f>
        <v>#REF!</v>
      </c>
      <c r="L40" s="455"/>
      <c r="M40" s="453" t="s">
        <v>712</v>
      </c>
      <c r="N40" s="454">
        <f>N39+N38</f>
        <v>1.9073905999934491</v>
      </c>
      <c r="O40" s="454" t="e">
        <f>O39+O38</f>
        <v>#REF!</v>
      </c>
      <c r="P40" s="454" t="e">
        <f>P39+P38</f>
        <v>#REF!</v>
      </c>
      <c r="Q40" s="454" t="e">
        <f>Q39+Q38</f>
        <v>#REF!</v>
      </c>
      <c r="R40" s="455"/>
      <c r="S40" s="453" t="s">
        <v>712</v>
      </c>
      <c r="T40" s="454">
        <f>T39+T38</f>
        <v>1.9262596711842492</v>
      </c>
      <c r="U40" s="454" t="e">
        <f>U39+U38</f>
        <v>#REF!</v>
      </c>
      <c r="V40" s="454" t="e">
        <f>V39+V38</f>
        <v>#REF!</v>
      </c>
      <c r="W40" s="454" t="e">
        <f>W39+W38</f>
        <v>#REF!</v>
      </c>
      <c r="X40" s="455"/>
      <c r="Y40" s="453" t="s">
        <v>712</v>
      </c>
      <c r="Z40" s="454" t="e">
        <f>Z39+Z38</f>
        <v>#N/A</v>
      </c>
      <c r="AA40" s="454" t="e">
        <f>AA39+AA38</f>
        <v>#N/A</v>
      </c>
      <c r="AB40" s="454" t="e">
        <f>AB39+AB38</f>
        <v>#N/A</v>
      </c>
      <c r="AC40" s="456" t="e">
        <f>AC39+AC38</f>
        <v>#N/A</v>
      </c>
    </row>
    <row r="41" spans="1:29" ht="15.75" thickBot="1" x14ac:dyDescent="0.3">
      <c r="A41" s="395"/>
      <c r="B41" s="395"/>
      <c r="C41" s="395"/>
      <c r="D41" s="395"/>
      <c r="E41" s="395"/>
      <c r="F41" s="395"/>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row>
    <row r="42" spans="1:29" ht="15.75" thickBot="1" x14ac:dyDescent="0.3">
      <c r="A42" s="395"/>
      <c r="B42" s="395"/>
      <c r="C42" s="395"/>
      <c r="D42" s="395"/>
      <c r="E42" s="395"/>
      <c r="F42" s="395"/>
      <c r="G42" s="263"/>
      <c r="H42" s="189">
        <f>H$22*'GHG Coefficient Lookup'!$AE$9/1000</f>
        <v>2.5425358730158734</v>
      </c>
      <c r="I42" s="189">
        <f>I$22*'GHG Coefficient Lookup'!$AE$9/1000</f>
        <v>1.2451005017006302</v>
      </c>
      <c r="J42" s="187">
        <f>VLOOKUP(J$19,'GHG Coefficient Lookup'!$AD$3:$AL$6,8,FALSE)*'MF-Old-Tall'!J$22</f>
        <v>0.5701533459114918</v>
      </c>
      <c r="K42" s="187" t="e">
        <f>VLOOKUP(K$19,'GHG Coefficient Lookup'!$AD$3:$AL$6,8,FALSE)*'MF-Old-Tall'!K$22</f>
        <v>#REF!</v>
      </c>
      <c r="L42" s="263"/>
      <c r="M42" s="263"/>
      <c r="N42" s="263"/>
      <c r="O42" s="263"/>
      <c r="P42" s="263"/>
      <c r="Q42" s="263"/>
      <c r="R42" s="263"/>
      <c r="S42" s="263"/>
      <c r="T42" s="263"/>
      <c r="U42" s="263"/>
      <c r="V42" s="263"/>
      <c r="W42" s="263"/>
      <c r="X42" s="263"/>
      <c r="Y42" s="263"/>
      <c r="Z42" s="263"/>
      <c r="AA42" s="263"/>
      <c r="AB42" s="263"/>
      <c r="AC42" s="263"/>
    </row>
    <row r="43" spans="1:29" ht="15" x14ac:dyDescent="0.25">
      <c r="A43" s="395"/>
      <c r="B43" s="395"/>
      <c r="C43" s="395"/>
      <c r="D43" s="395"/>
      <c r="E43" s="395"/>
      <c r="F43" s="395"/>
      <c r="G43" s="263"/>
      <c r="H43" s="189">
        <f>H$23*'GHG Coefficient Lookup'!$AE$9/1000</f>
        <v>0.94360813671687538</v>
      </c>
      <c r="I43" s="189">
        <f>I$23*'GHG Coefficient Lookup'!$AE$9/1000</f>
        <v>0.75488650937350044</v>
      </c>
      <c r="J43" s="187">
        <f>VLOOKUP(J$19,'GHG Coefficient Lookup'!$AD$3:$AL$6,8,FALSE)*'MF-Old-Tall'!J$23</f>
        <v>0.44191504117652408</v>
      </c>
      <c r="K43" s="187">
        <f>VLOOKUP(K$19,'GHG Coefficient Lookup'!$AD$3:$AL$6,8,FALSE)*'MF-Old-Tall'!K$23</f>
        <v>0.44191504117652408</v>
      </c>
      <c r="L43" s="263"/>
      <c r="M43" s="263"/>
      <c r="N43" s="263" t="s">
        <v>692</v>
      </c>
      <c r="O43" s="263"/>
      <c r="P43" s="263" t="s">
        <v>477</v>
      </c>
      <c r="Q43" s="263"/>
      <c r="R43" s="263" t="s">
        <v>714</v>
      </c>
      <c r="S43" s="263"/>
      <c r="T43" s="263"/>
      <c r="U43" s="263"/>
      <c r="V43" s="263"/>
      <c r="W43" s="263"/>
      <c r="X43" s="263"/>
      <c r="Y43" s="263"/>
      <c r="Z43" s="263"/>
      <c r="AA43" s="263"/>
      <c r="AB43" s="263"/>
      <c r="AC43" s="395"/>
    </row>
    <row r="44" spans="1:29" ht="15" x14ac:dyDescent="0.25">
      <c r="A44" s="395"/>
      <c r="B44" s="395"/>
      <c r="C44" s="395"/>
      <c r="D44" s="395"/>
      <c r="E44" s="395"/>
      <c r="F44" s="395"/>
      <c r="G44" s="263"/>
      <c r="H44" s="187">
        <f>VLOOKUP(H$19,'GHG Coefficient Lookup'!$AD$3:$AL$6,8,FALSE)*'MF-Old-Tall'!H$24</f>
        <v>0.26177777777777778</v>
      </c>
      <c r="I44" s="187">
        <f>VLOOKUP(I$19,'GHG Coefficient Lookup'!$AD$3:$AL$6,8,FALSE)*'MF-Old-Tall'!I$24</f>
        <v>0.27215238095238092</v>
      </c>
      <c r="J44" s="187">
        <f>VLOOKUP(J$19,'GHG Coefficient Lookup'!$AD$3:$AL$6,8,FALSE)*'MF-Old-Tall'!J$24</f>
        <v>0.19193015873015873</v>
      </c>
      <c r="K44" s="187" t="e">
        <f>VLOOKUP(K$19,'GHG Coefficient Lookup'!$AD$3:$AL$6,8,FALSE)*'MF-Old-Tall'!K$24</f>
        <v>#REF!</v>
      </c>
      <c r="L44" s="263"/>
      <c r="M44" s="263"/>
      <c r="N44" s="263" t="s">
        <v>694</v>
      </c>
      <c r="O44" s="263"/>
      <c r="P44" s="263"/>
      <c r="Q44" s="263"/>
      <c r="R44" s="263"/>
      <c r="S44" s="263"/>
      <c r="T44" s="263"/>
      <c r="U44" s="263"/>
      <c r="V44" s="263"/>
      <c r="W44" s="263"/>
      <c r="X44" s="263"/>
      <c r="Y44" s="263"/>
      <c r="Z44" s="263"/>
      <c r="AA44" s="263"/>
      <c r="AB44" s="263"/>
      <c r="AC44" s="395"/>
    </row>
    <row r="45" spans="1:29" ht="15.75" thickBot="1" x14ac:dyDescent="0.3">
      <c r="A45" s="395"/>
      <c r="B45" s="395"/>
      <c r="C45" s="395"/>
      <c r="D45" s="395"/>
      <c r="E45" s="395"/>
      <c r="F45" s="395"/>
      <c r="G45" s="263"/>
      <c r="H45" s="187">
        <f>VLOOKUP(H$19,'GHG Coefficient Lookup'!$AD$3:$AL$6,8,FALSE)*'MF-Old-Tall'!H$25</f>
        <v>0.91199999999999992</v>
      </c>
      <c r="I45" s="187">
        <f>VLOOKUP(I$19,'GHG Coefficient Lookup'!$AD$3:$AL$6,8,FALSE)*'MF-Old-Tall'!I$25</f>
        <v>0.54952222222222225</v>
      </c>
      <c r="J45" s="187">
        <f>VLOOKUP(J$19,'GHG Coefficient Lookup'!$AD$3:$AL$6,8,FALSE)*'MF-Old-Tall'!J$25</f>
        <v>0.63095079365079365</v>
      </c>
      <c r="K45" s="187">
        <f>VLOOKUP(K$19,'GHG Coefficient Lookup'!$AD$3:$AL$6,8,FALSE)*'MF-Old-Tall'!K$25</f>
        <v>0.62612539682539681</v>
      </c>
      <c r="L45" s="263"/>
      <c r="M45" s="263"/>
      <c r="N45" s="263" t="s">
        <v>715</v>
      </c>
      <c r="O45" s="263" t="s">
        <v>716</v>
      </c>
      <c r="P45" s="263">
        <v>2030</v>
      </c>
      <c r="Q45" s="263">
        <v>2040</v>
      </c>
      <c r="R45" s="263">
        <v>1</v>
      </c>
      <c r="S45" s="263">
        <v>2</v>
      </c>
      <c r="T45" s="263"/>
      <c r="U45" s="263"/>
      <c r="V45" s="263"/>
      <c r="W45" s="263"/>
      <c r="X45" s="263"/>
      <c r="Y45" s="263"/>
      <c r="Z45" s="263"/>
      <c r="AA45" s="263"/>
      <c r="AB45" s="263"/>
      <c r="AC45" s="395"/>
    </row>
    <row r="46" spans="1:29" ht="15" x14ac:dyDescent="0.25">
      <c r="A46" s="395"/>
      <c r="B46" s="395"/>
      <c r="C46" s="395"/>
      <c r="D46" s="395"/>
      <c r="E46" s="395"/>
      <c r="F46" s="395"/>
      <c r="G46" s="263"/>
      <c r="H46" s="189">
        <f>H$26*'GHG Coefficient Lookup'!$AE$9/1000</f>
        <v>0.12669873929628758</v>
      </c>
      <c r="I46" s="189">
        <f>I$26*'GHG Coefficient Lookup'!$AE$9/1000</f>
        <v>0.12669873929628758</v>
      </c>
      <c r="J46" s="187">
        <f>VLOOKUP(J$19,'GHG Coefficient Lookup'!$AD$3:$AL$6,8,FALSE)*'MF-Old-Tall'!J$26</f>
        <v>0.11045127755371048</v>
      </c>
      <c r="K46" s="187">
        <f>VLOOKUP(K$19,'GHG Coefficient Lookup'!$AD$3:$AL$6,8,FALSE)*'MF-Old-Tall'!K$26</f>
        <v>0.11045127755371048</v>
      </c>
      <c r="L46" s="263"/>
      <c r="M46" s="263"/>
      <c r="N46" s="263" t="s">
        <v>274</v>
      </c>
      <c r="O46" s="264">
        <f>N22</f>
        <v>15</v>
      </c>
      <c r="P46" s="263"/>
      <c r="Q46" s="263"/>
      <c r="R46" s="264" t="e">
        <f>P22</f>
        <v>#REF!</v>
      </c>
      <c r="S46" s="264" t="e">
        <f>Q22</f>
        <v>#REF!</v>
      </c>
      <c r="T46" s="263"/>
      <c r="U46" s="263"/>
      <c r="V46" s="263"/>
      <c r="W46" s="263"/>
      <c r="X46" s="263"/>
      <c r="Y46" s="263"/>
      <c r="Z46" s="263"/>
      <c r="AA46" s="263"/>
      <c r="AB46" s="263"/>
      <c r="AC46" s="395"/>
    </row>
    <row r="47" spans="1:29" ht="15" x14ac:dyDescent="0.25">
      <c r="A47" s="395"/>
      <c r="B47" s="395"/>
      <c r="C47" s="395"/>
      <c r="D47" s="395"/>
      <c r="E47" s="395"/>
      <c r="F47" s="395"/>
      <c r="G47" s="263"/>
      <c r="H47" s="263"/>
      <c r="I47" s="263"/>
      <c r="J47" s="263"/>
      <c r="K47" s="263"/>
      <c r="L47" s="263"/>
      <c r="M47" s="263"/>
      <c r="N47" s="263" t="s">
        <v>680</v>
      </c>
      <c r="O47" s="264">
        <f t="shared" ref="O47:O53" si="4">N23</f>
        <v>17.767052094085397</v>
      </c>
      <c r="P47" s="263"/>
      <c r="Q47" s="263"/>
      <c r="R47" s="264">
        <f t="shared" ref="R47:R53" si="5">P23</f>
        <v>5.8146715944279483</v>
      </c>
      <c r="S47" s="264">
        <f t="shared" ref="S47:S53" si="6">Q23</f>
        <v>5.8146715944279483</v>
      </c>
      <c r="T47" s="263"/>
      <c r="U47" s="263"/>
      <c r="V47" s="263"/>
      <c r="W47" s="263"/>
      <c r="X47" s="263"/>
      <c r="Y47" s="263"/>
      <c r="Z47" s="263"/>
      <c r="AA47" s="263"/>
      <c r="AB47" s="263"/>
      <c r="AC47" s="395"/>
    </row>
    <row r="48" spans="1:29" ht="15" x14ac:dyDescent="0.25">
      <c r="A48" s="395"/>
      <c r="B48" s="395"/>
      <c r="C48" s="395"/>
      <c r="D48" s="395"/>
      <c r="E48" s="395"/>
      <c r="F48" s="395"/>
      <c r="G48" s="395"/>
      <c r="H48" s="395"/>
      <c r="I48" s="395"/>
      <c r="J48" s="395"/>
      <c r="K48" s="395"/>
      <c r="L48" s="395"/>
      <c r="M48" s="395"/>
      <c r="N48" s="395" t="s">
        <v>275</v>
      </c>
      <c r="O48" s="264">
        <f t="shared" si="4"/>
        <v>3</v>
      </c>
      <c r="P48" s="395"/>
      <c r="Q48" s="395"/>
      <c r="R48" s="264">
        <f t="shared" si="5"/>
        <v>2.5253968253968253</v>
      </c>
      <c r="S48" s="264" t="e">
        <f t="shared" si="6"/>
        <v>#REF!</v>
      </c>
      <c r="T48" s="395"/>
      <c r="U48" s="395"/>
      <c r="V48" s="395"/>
      <c r="W48" s="395"/>
      <c r="X48" s="395"/>
      <c r="Y48" s="395"/>
      <c r="Z48" s="395"/>
      <c r="AA48" s="395"/>
      <c r="AB48" s="263"/>
      <c r="AC48" s="395"/>
    </row>
    <row r="49" spans="1:28" ht="15" x14ac:dyDescent="0.25">
      <c r="A49" s="395"/>
      <c r="B49" s="395"/>
      <c r="C49" s="395"/>
      <c r="D49" s="395"/>
      <c r="E49" s="395"/>
      <c r="F49" s="395"/>
      <c r="G49" s="395"/>
      <c r="H49" s="395"/>
      <c r="I49" s="395"/>
      <c r="J49" s="395"/>
      <c r="K49" s="395"/>
      <c r="L49" s="395"/>
      <c r="M49" s="395"/>
      <c r="N49" s="395" t="s">
        <v>701</v>
      </c>
      <c r="O49" s="264">
        <f t="shared" si="4"/>
        <v>12</v>
      </c>
      <c r="P49" s="395"/>
      <c r="Q49" s="395"/>
      <c r="R49" s="264">
        <f t="shared" si="5"/>
        <v>8.3019841269841272</v>
      </c>
      <c r="S49" s="264">
        <f t="shared" si="6"/>
        <v>8.238492063492064</v>
      </c>
      <c r="T49" s="395"/>
      <c r="U49" s="395"/>
      <c r="V49" s="395"/>
      <c r="W49" s="395"/>
      <c r="X49" s="395"/>
      <c r="Y49" s="395"/>
      <c r="Z49" s="395"/>
      <c r="AA49" s="395"/>
      <c r="AB49" s="263"/>
    </row>
    <row r="50" spans="1:28" ht="15" x14ac:dyDescent="0.25">
      <c r="A50" s="395"/>
      <c r="B50" s="395" t="s">
        <v>717</v>
      </c>
      <c r="C50" s="395"/>
      <c r="D50" s="395" t="s">
        <v>718</v>
      </c>
      <c r="E50" s="395"/>
      <c r="F50" s="395"/>
      <c r="G50" s="395"/>
      <c r="H50" s="395"/>
      <c r="I50" s="395"/>
      <c r="J50" s="395"/>
      <c r="K50" s="395"/>
      <c r="L50" s="395"/>
      <c r="M50" s="395"/>
      <c r="N50" s="395" t="s">
        <v>526</v>
      </c>
      <c r="O50" s="264">
        <f t="shared" si="4"/>
        <v>2.3855910242193104</v>
      </c>
      <c r="P50" s="395"/>
      <c r="Q50" s="395"/>
      <c r="R50" s="264">
        <f t="shared" si="5"/>
        <v>1.4533062836014536</v>
      </c>
      <c r="S50" s="264">
        <f t="shared" si="6"/>
        <v>1.4533062836014536</v>
      </c>
      <c r="T50" s="395"/>
      <c r="U50" s="395"/>
      <c r="V50" s="395"/>
      <c r="W50" s="395"/>
      <c r="X50" s="395"/>
      <c r="Y50" s="395"/>
      <c r="Z50" s="395"/>
      <c r="AA50" s="395"/>
      <c r="AB50" s="395"/>
    </row>
    <row r="51" spans="1:28" ht="15" x14ac:dyDescent="0.25">
      <c r="A51" s="395"/>
      <c r="B51" s="395" t="s">
        <v>719</v>
      </c>
      <c r="C51" s="395">
        <v>15</v>
      </c>
      <c r="D51" s="395" t="s">
        <v>720</v>
      </c>
      <c r="E51" s="395"/>
      <c r="F51" s="395"/>
      <c r="G51" s="395"/>
      <c r="H51" s="395"/>
      <c r="I51" s="395"/>
      <c r="J51" s="395"/>
      <c r="K51" s="395"/>
      <c r="L51" s="395"/>
      <c r="M51" s="395"/>
      <c r="N51" s="395" t="s">
        <v>702</v>
      </c>
      <c r="O51" s="264">
        <f t="shared" si="4"/>
        <v>35.152643118304709</v>
      </c>
      <c r="P51" s="395"/>
      <c r="Q51" s="395"/>
      <c r="R51" s="264">
        <f t="shared" si="5"/>
        <v>0</v>
      </c>
      <c r="S51" s="264">
        <f t="shared" si="6"/>
        <v>0</v>
      </c>
      <c r="T51" s="395"/>
      <c r="U51" s="395"/>
      <c r="V51" s="395"/>
      <c r="W51" s="395"/>
      <c r="X51" s="395"/>
      <c r="Y51" s="395"/>
      <c r="Z51" s="395"/>
      <c r="AA51" s="395"/>
      <c r="AB51" s="395"/>
    </row>
    <row r="52" spans="1:28" ht="15" x14ac:dyDescent="0.25">
      <c r="A52" s="395"/>
      <c r="B52" s="395" t="s">
        <v>721</v>
      </c>
      <c r="C52" s="395">
        <v>48</v>
      </c>
      <c r="D52" s="395" t="s">
        <v>720</v>
      </c>
      <c r="E52" s="395"/>
      <c r="F52" s="395"/>
      <c r="G52" s="395"/>
      <c r="H52" s="395"/>
      <c r="I52" s="395"/>
      <c r="J52" s="395"/>
      <c r="K52" s="395"/>
      <c r="L52" s="395"/>
      <c r="M52" s="395"/>
      <c r="N52" s="395" t="s">
        <v>703</v>
      </c>
      <c r="O52" s="264">
        <f t="shared" si="4"/>
        <v>15</v>
      </c>
      <c r="P52" s="395"/>
      <c r="Q52" s="395"/>
      <c r="R52" s="264" t="e">
        <f t="shared" si="5"/>
        <v>#REF!</v>
      </c>
      <c r="S52" s="264" t="e">
        <f t="shared" si="6"/>
        <v>#REF!</v>
      </c>
      <c r="T52" s="395"/>
      <c r="U52" s="395"/>
      <c r="V52" s="395"/>
      <c r="W52" s="395"/>
      <c r="X52" s="395"/>
      <c r="Y52" s="395"/>
      <c r="Z52" s="395"/>
      <c r="AA52" s="395"/>
      <c r="AB52" s="395"/>
    </row>
    <row r="53" spans="1:28" ht="15" x14ac:dyDescent="0.25">
      <c r="A53" s="395"/>
      <c r="B53" s="395" t="s">
        <v>722</v>
      </c>
      <c r="C53" s="394">
        <f>'RECS Microdata End Uses'!E19</f>
        <v>10.926479438658347</v>
      </c>
      <c r="D53" s="395" t="s">
        <v>718</v>
      </c>
      <c r="E53" s="395"/>
      <c r="F53" s="395"/>
      <c r="G53" s="395"/>
      <c r="H53" s="395"/>
      <c r="I53" s="395"/>
      <c r="J53" s="395"/>
      <c r="K53" s="395"/>
      <c r="L53" s="395"/>
      <c r="M53" s="395"/>
      <c r="N53" s="395" t="s">
        <v>690</v>
      </c>
      <c r="O53" s="264">
        <f t="shared" si="4"/>
        <v>50.152643118304709</v>
      </c>
      <c r="P53" s="395"/>
      <c r="Q53" s="395"/>
      <c r="R53" s="264" t="e">
        <f t="shared" si="5"/>
        <v>#REF!</v>
      </c>
      <c r="S53" s="264" t="e">
        <f t="shared" si="6"/>
        <v>#REF!</v>
      </c>
      <c r="T53" s="395"/>
      <c r="U53" s="395"/>
      <c r="V53" s="395"/>
      <c r="W53" s="395"/>
      <c r="X53" s="395"/>
      <c r="Y53" s="395"/>
      <c r="Z53" s="395"/>
      <c r="AA53" s="395"/>
      <c r="AB53" s="395"/>
    </row>
    <row r="54" spans="1:28" x14ac:dyDescent="0.2">
      <c r="A54" s="395"/>
      <c r="B54" s="395" t="s">
        <v>723</v>
      </c>
      <c r="C54" s="394">
        <f>'RECS Microdata End Uses'!D9</f>
        <v>0.62000012096616908</v>
      </c>
      <c r="D54" s="395" t="s">
        <v>718</v>
      </c>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row>
    <row r="57" spans="1:28" x14ac:dyDescent="0.2">
      <c r="A57" s="395"/>
      <c r="B57" s="395" t="s">
        <v>724</v>
      </c>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row>
    <row r="58" spans="1:28" x14ac:dyDescent="0.2">
      <c r="A58" s="395"/>
      <c r="B58" s="395" t="s">
        <v>725</v>
      </c>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row>
    <row r="59" spans="1:28" x14ac:dyDescent="0.2">
      <c r="A59" s="395"/>
      <c r="B59" s="395" t="s">
        <v>726</v>
      </c>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row>
    <row r="60" spans="1:28" x14ac:dyDescent="0.2">
      <c r="A60" s="395" t="s">
        <v>727</v>
      </c>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row>
    <row r="61" spans="1:28" x14ac:dyDescent="0.2">
      <c r="A61" s="395" t="s">
        <v>728</v>
      </c>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row>
    <row r="62" spans="1:28" x14ac:dyDescent="0.2">
      <c r="A62" s="395" t="s">
        <v>729</v>
      </c>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row>
    <row r="77" spans="6:23" x14ac:dyDescent="0.2">
      <c r="F77" s="395" t="s">
        <v>730</v>
      </c>
      <c r="G77" s="399" t="s">
        <v>395</v>
      </c>
      <c r="H77" s="399" t="s">
        <v>409</v>
      </c>
      <c r="I77" s="399" t="s">
        <v>409</v>
      </c>
      <c r="J77" s="399" t="s">
        <v>409</v>
      </c>
      <c r="K77" s="399" t="s">
        <v>409</v>
      </c>
      <c r="L77" s="399" t="s">
        <v>418</v>
      </c>
      <c r="M77" s="399" t="s">
        <v>418</v>
      </c>
      <c r="N77" s="399" t="s">
        <v>418</v>
      </c>
      <c r="O77" s="399" t="s">
        <v>418</v>
      </c>
      <c r="P77" s="399" t="s">
        <v>405</v>
      </c>
      <c r="Q77" s="399" t="s">
        <v>405</v>
      </c>
      <c r="R77" s="399" t="s">
        <v>405</v>
      </c>
      <c r="S77" s="399" t="s">
        <v>405</v>
      </c>
      <c r="T77" s="399" t="s">
        <v>413</v>
      </c>
      <c r="U77" s="399" t="s">
        <v>413</v>
      </c>
      <c r="V77" s="399" t="s">
        <v>413</v>
      </c>
      <c r="W77" s="399" t="s">
        <v>413</v>
      </c>
    </row>
    <row r="78" spans="6:23" x14ac:dyDescent="0.2">
      <c r="F78" s="395"/>
      <c r="G78" s="399" t="s">
        <v>666</v>
      </c>
      <c r="H78" s="399" t="s">
        <v>440</v>
      </c>
      <c r="I78" s="399" t="s">
        <v>440</v>
      </c>
      <c r="J78" s="399" t="s">
        <v>440</v>
      </c>
      <c r="K78" s="399" t="s">
        <v>440</v>
      </c>
      <c r="L78" s="399" t="s">
        <v>440</v>
      </c>
      <c r="M78" s="399" t="s">
        <v>440</v>
      </c>
      <c r="N78" s="399" t="s">
        <v>440</v>
      </c>
      <c r="O78" s="399" t="s">
        <v>440</v>
      </c>
      <c r="P78" s="399" t="s">
        <v>440</v>
      </c>
      <c r="Q78" s="399" t="s">
        <v>440</v>
      </c>
      <c r="R78" s="399" t="s">
        <v>440</v>
      </c>
      <c r="S78" s="399" t="s">
        <v>440</v>
      </c>
      <c r="T78" s="399" t="s">
        <v>440</v>
      </c>
      <c r="U78" s="399" t="s">
        <v>440</v>
      </c>
      <c r="V78" s="399" t="s">
        <v>440</v>
      </c>
      <c r="W78" s="399" t="s">
        <v>440</v>
      </c>
    </row>
    <row r="79" spans="6:23" x14ac:dyDescent="0.2">
      <c r="F79" s="395"/>
      <c r="G79" s="395" t="s">
        <v>533</v>
      </c>
      <c r="H79" s="395">
        <v>0</v>
      </c>
      <c r="I79" s="206">
        <v>1</v>
      </c>
      <c r="J79" s="206">
        <v>2</v>
      </c>
      <c r="K79" s="206">
        <v>3</v>
      </c>
      <c r="L79" s="206">
        <v>0</v>
      </c>
      <c r="M79" s="206">
        <v>1</v>
      </c>
      <c r="N79" s="206">
        <v>2</v>
      </c>
      <c r="O79" s="206">
        <v>3</v>
      </c>
      <c r="P79" s="206">
        <v>0</v>
      </c>
      <c r="Q79" s="206">
        <v>1</v>
      </c>
      <c r="R79" s="206">
        <v>2</v>
      </c>
      <c r="S79" s="206">
        <v>3</v>
      </c>
      <c r="T79" s="206">
        <v>0</v>
      </c>
      <c r="U79" s="206">
        <v>1</v>
      </c>
      <c r="V79" s="206">
        <v>2</v>
      </c>
      <c r="W79" s="206">
        <v>3</v>
      </c>
    </row>
    <row r="80" spans="6:23" x14ac:dyDescent="0.2">
      <c r="F80" s="395"/>
      <c r="G80" s="395" t="s">
        <v>667</v>
      </c>
      <c r="H80" s="394">
        <f>H82*I80/I82</f>
        <v>38.298412698412704</v>
      </c>
      <c r="I80" s="459">
        <f>J80*2.5</f>
        <v>18.755044273404337</v>
      </c>
      <c r="J80" s="459">
        <f>J22</f>
        <v>7.5020177093617342</v>
      </c>
      <c r="K80" s="459" t="e">
        <f>K22</f>
        <v>#REF!</v>
      </c>
      <c r="L80" s="394" t="e">
        <f>L82*M80/M82</f>
        <v>#REF!</v>
      </c>
      <c r="M80" s="459" t="e">
        <f>N80*2.5</f>
        <v>#REF!</v>
      </c>
      <c r="N80" s="459" t="e">
        <f>P22</f>
        <v>#REF!</v>
      </c>
      <c r="O80" s="459" t="e">
        <f>Q22</f>
        <v>#REF!</v>
      </c>
      <c r="P80" s="459" t="e">
        <f>Q80*2.5</f>
        <v>#REF!</v>
      </c>
      <c r="Q80" s="459" t="e">
        <f>R80*2.5</f>
        <v>#REF!</v>
      </c>
      <c r="R80" s="459" t="e">
        <f>V22</f>
        <v>#REF!</v>
      </c>
      <c r="S80" s="459" t="e">
        <f>W22</f>
        <v>#REF!</v>
      </c>
      <c r="T80" s="459" t="e">
        <f>U80*2.5</f>
        <v>#REF!</v>
      </c>
      <c r="U80" s="459" t="e">
        <f>V80*2.5</f>
        <v>#REF!</v>
      </c>
      <c r="V80" s="459" t="e">
        <f>AB22</f>
        <v>#REF!</v>
      </c>
      <c r="W80" s="459" t="e">
        <f>AC22</f>
        <v>#REF!</v>
      </c>
    </row>
    <row r="81" spans="2:23" x14ac:dyDescent="0.2">
      <c r="B81" s="395"/>
      <c r="C81" s="395"/>
      <c r="D81" s="395"/>
      <c r="E81" s="395"/>
      <c r="F81" s="395"/>
      <c r="G81" s="395" t="s">
        <v>668</v>
      </c>
      <c r="H81" s="205">
        <f>I81</f>
        <v>5.8146715944279483</v>
      </c>
      <c r="I81" s="205">
        <f>J81</f>
        <v>5.8146715944279483</v>
      </c>
      <c r="J81" s="459">
        <f>J23</f>
        <v>5.8146715944279483</v>
      </c>
      <c r="K81" s="459">
        <f>K23</f>
        <v>5.8146715944279483</v>
      </c>
      <c r="L81" s="205">
        <f>M81</f>
        <v>5.8146715944279483</v>
      </c>
      <c r="M81" s="205">
        <f>N81</f>
        <v>5.8146715944279483</v>
      </c>
      <c r="N81" s="459">
        <f>P23</f>
        <v>5.8146715944279483</v>
      </c>
      <c r="O81" s="459">
        <f>Q23</f>
        <v>5.8146715944279483</v>
      </c>
      <c r="P81" s="205">
        <f>Q81</f>
        <v>5.8146715944279483</v>
      </c>
      <c r="Q81" s="459">
        <f>R81</f>
        <v>5.8146715944279483</v>
      </c>
      <c r="R81" s="459">
        <f>V23</f>
        <v>5.8146715944279483</v>
      </c>
      <c r="S81" s="459">
        <f>W23</f>
        <v>5.8146715944279483</v>
      </c>
      <c r="T81" s="205">
        <f>U81</f>
        <v>5.8146715944279483</v>
      </c>
      <c r="U81" s="459">
        <f>V81</f>
        <v>5.8146715944279483</v>
      </c>
      <c r="V81" s="459">
        <f>AB23</f>
        <v>5.8146715944279483</v>
      </c>
      <c r="W81" s="459">
        <f>AC23</f>
        <v>5.8146715944279483</v>
      </c>
    </row>
    <row r="82" spans="2:23" x14ac:dyDescent="0.2">
      <c r="B82" s="395"/>
      <c r="C82" s="395"/>
      <c r="D82" s="395"/>
      <c r="E82" s="395"/>
      <c r="F82" s="395"/>
      <c r="G82" s="395" t="s">
        <v>524</v>
      </c>
      <c r="H82" s="394">
        <f t="shared" ref="H82:I86" si="7">H22</f>
        <v>47.873015873015873</v>
      </c>
      <c r="I82" s="459">
        <f t="shared" si="7"/>
        <v>23.443805341755418</v>
      </c>
      <c r="J82" s="459">
        <v>0</v>
      </c>
      <c r="K82" s="459">
        <v>0</v>
      </c>
      <c r="L82" s="394">
        <f>N22</f>
        <v>15</v>
      </c>
      <c r="M82" s="459" t="e">
        <f>O22</f>
        <v>#REF!</v>
      </c>
      <c r="N82" s="459">
        <v>0</v>
      </c>
      <c r="O82" s="459">
        <v>0</v>
      </c>
      <c r="P82" s="459">
        <f>T22</f>
        <v>15</v>
      </c>
      <c r="Q82" s="459" t="e">
        <f>U22</f>
        <v>#REF!</v>
      </c>
      <c r="R82" s="459">
        <v>0</v>
      </c>
      <c r="S82" s="459">
        <v>0</v>
      </c>
      <c r="T82" s="459">
        <f>Z22</f>
        <v>10</v>
      </c>
      <c r="U82" s="459" t="e">
        <f>AA22</f>
        <v>#REF!</v>
      </c>
      <c r="V82" s="459">
        <v>0</v>
      </c>
      <c r="W82" s="459">
        <v>0</v>
      </c>
    </row>
    <row r="83" spans="2:23" x14ac:dyDescent="0.2">
      <c r="B83" s="395"/>
      <c r="C83" s="395"/>
      <c r="D83" s="395"/>
      <c r="E83" s="395"/>
      <c r="F83" s="395"/>
      <c r="G83" s="395" t="s">
        <v>525</v>
      </c>
      <c r="H83" s="394">
        <f t="shared" si="7"/>
        <v>17.767052094085397</v>
      </c>
      <c r="I83" s="459">
        <f t="shared" si="7"/>
        <v>14.213641675268319</v>
      </c>
      <c r="J83" s="459">
        <v>0</v>
      </c>
      <c r="K83" s="459">
        <v>0</v>
      </c>
      <c r="L83" s="394">
        <f t="shared" ref="L83:L86" si="8">N23</f>
        <v>17.767052094085397</v>
      </c>
      <c r="M83" s="459">
        <f>O23</f>
        <v>14.213641675268319</v>
      </c>
      <c r="N83" s="459">
        <v>0</v>
      </c>
      <c r="O83" s="459">
        <v>0</v>
      </c>
      <c r="P83" s="459">
        <f t="shared" ref="P83:P86" si="9">T23</f>
        <v>17.767052094085397</v>
      </c>
      <c r="Q83" s="459">
        <f>U23</f>
        <v>14.213641675268319</v>
      </c>
      <c r="R83" s="459">
        <v>0</v>
      </c>
      <c r="S83" s="459">
        <v>0</v>
      </c>
      <c r="T83" s="459">
        <f t="shared" ref="T83:T86" si="10">Z23</f>
        <v>17.767052094085397</v>
      </c>
      <c r="U83" s="459">
        <f>AA23</f>
        <v>14.213641675268319</v>
      </c>
      <c r="V83" s="459">
        <v>0</v>
      </c>
      <c r="W83" s="459">
        <v>0</v>
      </c>
    </row>
    <row r="84" spans="2:23" x14ac:dyDescent="0.2">
      <c r="B84" s="395"/>
      <c r="C84" s="395"/>
      <c r="D84" s="395"/>
      <c r="E84" s="395"/>
      <c r="F84" s="395"/>
      <c r="G84" s="395" t="s">
        <v>528</v>
      </c>
      <c r="H84" s="394">
        <f t="shared" si="7"/>
        <v>3.4444444444444446</v>
      </c>
      <c r="I84" s="459">
        <f t="shared" si="7"/>
        <v>3.5809523809523807</v>
      </c>
      <c r="J84" s="459">
        <f t="shared" ref="J84:K86" si="11">J24</f>
        <v>2.5253968253968253</v>
      </c>
      <c r="K84" s="459" t="e">
        <f t="shared" si="11"/>
        <v>#REF!</v>
      </c>
      <c r="L84" s="394">
        <f t="shared" si="8"/>
        <v>3</v>
      </c>
      <c r="M84" s="459">
        <f>O24</f>
        <v>3.5809523809523807</v>
      </c>
      <c r="N84" s="459">
        <f t="shared" ref="N84:O86" si="12">P24</f>
        <v>2.5253968253968253</v>
      </c>
      <c r="O84" s="459" t="e">
        <f t="shared" si="12"/>
        <v>#REF!</v>
      </c>
      <c r="P84" s="459">
        <f t="shared" si="9"/>
        <v>10</v>
      </c>
      <c r="Q84" s="459">
        <f>U24</f>
        <v>11.936507936507937</v>
      </c>
      <c r="R84" s="459">
        <f t="shared" ref="R84:S86" si="13">V24</f>
        <v>8.4179894179894195</v>
      </c>
      <c r="S84" s="459" t="e">
        <f t="shared" si="13"/>
        <v>#REF!</v>
      </c>
      <c r="T84" s="459">
        <f t="shared" si="10"/>
        <v>3</v>
      </c>
      <c r="U84" s="459">
        <f>AA24</f>
        <v>3.5809523809523807</v>
      </c>
      <c r="V84" s="459">
        <f t="shared" ref="V84:W86" si="14">AB24</f>
        <v>2.5253968253968253</v>
      </c>
      <c r="W84" s="459" t="e">
        <f t="shared" si="14"/>
        <v>#REF!</v>
      </c>
    </row>
    <row r="85" spans="2:23" x14ac:dyDescent="0.2">
      <c r="B85" s="395" t="s">
        <v>731</v>
      </c>
      <c r="C85" s="395"/>
      <c r="D85" s="395"/>
      <c r="E85" s="395"/>
      <c r="F85" s="395"/>
      <c r="G85" s="395" t="s">
        <v>527</v>
      </c>
      <c r="H85" s="394">
        <f t="shared" si="7"/>
        <v>12</v>
      </c>
      <c r="I85" s="459">
        <f t="shared" si="7"/>
        <v>7.2305555555555561</v>
      </c>
      <c r="J85" s="459">
        <f t="shared" si="11"/>
        <v>8.3019841269841272</v>
      </c>
      <c r="K85" s="459">
        <f t="shared" si="11"/>
        <v>8.238492063492064</v>
      </c>
      <c r="L85" s="394">
        <f t="shared" si="8"/>
        <v>12</v>
      </c>
      <c r="M85" s="459">
        <f>O25</f>
        <v>7.2305555555555561</v>
      </c>
      <c r="N85" s="459">
        <f t="shared" si="12"/>
        <v>8.3019841269841272</v>
      </c>
      <c r="O85" s="459">
        <f t="shared" si="12"/>
        <v>8.238492063492064</v>
      </c>
      <c r="P85" s="459">
        <f t="shared" si="9"/>
        <v>12</v>
      </c>
      <c r="Q85" s="459">
        <f>U25</f>
        <v>7.2305555555555561</v>
      </c>
      <c r="R85" s="459">
        <f t="shared" si="13"/>
        <v>8.3019841269841272</v>
      </c>
      <c r="S85" s="459">
        <f t="shared" si="13"/>
        <v>8.238492063492064</v>
      </c>
      <c r="T85" s="459">
        <f t="shared" si="10"/>
        <v>12</v>
      </c>
      <c r="U85" s="459">
        <f>AA25</f>
        <v>7.2305555555555561</v>
      </c>
      <c r="V85" s="459">
        <f t="shared" si="14"/>
        <v>8.3019841269841272</v>
      </c>
      <c r="W85" s="459">
        <f t="shared" si="14"/>
        <v>8.238492063492064</v>
      </c>
    </row>
    <row r="86" spans="2:23" x14ac:dyDescent="0.2">
      <c r="B86" s="395" t="s">
        <v>732</v>
      </c>
      <c r="C86" s="395"/>
      <c r="D86" s="395"/>
      <c r="E86" s="395"/>
      <c r="F86" s="395"/>
      <c r="G86" s="395" t="s">
        <v>526</v>
      </c>
      <c r="H86" s="394">
        <f t="shared" si="7"/>
        <v>2.3855910242193104</v>
      </c>
      <c r="I86" s="459">
        <f t="shared" si="7"/>
        <v>2.3855910242193104</v>
      </c>
      <c r="J86" s="459">
        <f t="shared" si="11"/>
        <v>1.4533062836014536</v>
      </c>
      <c r="K86" s="459">
        <f t="shared" si="11"/>
        <v>1.4533062836014536</v>
      </c>
      <c r="L86" s="394">
        <f t="shared" si="8"/>
        <v>2.3855910242193104</v>
      </c>
      <c r="M86" s="459">
        <f>O26</f>
        <v>2.3855910242193104</v>
      </c>
      <c r="N86" s="459">
        <f t="shared" si="12"/>
        <v>1.4533062836014536</v>
      </c>
      <c r="O86" s="459">
        <f t="shared" si="12"/>
        <v>1.4533062836014536</v>
      </c>
      <c r="P86" s="459">
        <f t="shared" si="9"/>
        <v>2.3855910242193104</v>
      </c>
      <c r="Q86" s="459">
        <f>U26</f>
        <v>2.3855910242193104</v>
      </c>
      <c r="R86" s="459">
        <f t="shared" si="13"/>
        <v>1.4533062836014536</v>
      </c>
      <c r="S86" s="459">
        <f t="shared" si="13"/>
        <v>1.4533062836014536</v>
      </c>
      <c r="T86" s="459">
        <f t="shared" si="10"/>
        <v>2.3855910242193104</v>
      </c>
      <c r="U86" s="459">
        <f>AA26</f>
        <v>2.3855910242193104</v>
      </c>
      <c r="V86" s="459">
        <f t="shared" si="14"/>
        <v>1.4533062836014536</v>
      </c>
      <c r="W86" s="459">
        <f t="shared" si="14"/>
        <v>1.4533062836014536</v>
      </c>
    </row>
    <row r="87" spans="2:23" x14ac:dyDescent="0.2">
      <c r="B87" s="395" t="s">
        <v>733</v>
      </c>
      <c r="C87" s="395"/>
      <c r="D87" s="395"/>
      <c r="E87" s="395"/>
      <c r="F87" s="395"/>
      <c r="G87" s="395"/>
      <c r="H87" s="395"/>
      <c r="I87" s="395"/>
      <c r="J87" s="395"/>
      <c r="K87" s="395"/>
      <c r="L87" s="395"/>
      <c r="M87" s="395"/>
      <c r="N87" s="395"/>
      <c r="O87" s="395"/>
      <c r="P87" s="395"/>
      <c r="Q87" s="395"/>
      <c r="R87" s="395"/>
      <c r="S87" s="395"/>
      <c r="T87" s="395"/>
      <c r="U87" s="395"/>
      <c r="V87" s="395"/>
      <c r="W87" s="395"/>
    </row>
  </sheetData>
  <mergeCells count="1">
    <mergeCell ref="I5:L5"/>
  </mergeCells>
  <conditionalFormatting sqref="H29:K29 N29:Q29 T29:W29 Z29:AC29">
    <cfRule type="cellIs" dxfId="3" priority="2" operator="lessThan">
      <formula>$H$30</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915AC-3CE6-4D97-B1BD-77F09C658737}">
  <dimension ref="A1:AC87"/>
  <sheetViews>
    <sheetView workbookViewId="0"/>
  </sheetViews>
  <sheetFormatPr defaultColWidth="9.140625" defaultRowHeight="12.75" x14ac:dyDescent="0.2"/>
  <cols>
    <col min="1" max="1" width="17.7109375" style="10" bestFit="1" customWidth="1"/>
    <col min="2" max="2" width="41.7109375" style="10" customWidth="1"/>
    <col min="3" max="3" width="44.140625" style="10" customWidth="1"/>
    <col min="4" max="5" width="9.140625" style="10"/>
    <col min="6" max="6" width="26.140625" style="10" bestFit="1" customWidth="1"/>
    <col min="7" max="7" width="21.7109375" style="10" customWidth="1"/>
    <col min="8" max="9" width="9.140625" style="10"/>
    <col min="10" max="10" width="9.5703125" style="10" bestFit="1" customWidth="1"/>
    <col min="11" max="12" width="9.140625" style="10"/>
    <col min="13" max="13" width="18.42578125" style="10" customWidth="1"/>
    <col min="14" max="18" width="8.5703125" style="10" customWidth="1"/>
    <col min="19" max="19" width="15.140625" style="10" customWidth="1"/>
    <col min="20" max="24" width="8.5703125" style="10" customWidth="1"/>
    <col min="25" max="25" width="15.7109375" style="10" customWidth="1"/>
    <col min="26" max="31" width="8.5703125" style="10" customWidth="1"/>
    <col min="32" max="16384" width="9.140625" style="10"/>
  </cols>
  <sheetData>
    <row r="1" spans="1:21" x14ac:dyDescent="0.2">
      <c r="A1" s="395" t="s">
        <v>529</v>
      </c>
      <c r="B1" s="395"/>
      <c r="C1" s="395"/>
      <c r="D1" s="395"/>
      <c r="E1" s="395"/>
      <c r="F1" s="395"/>
      <c r="G1" s="395"/>
      <c r="H1" s="395"/>
      <c r="I1" s="395"/>
      <c r="J1" s="395"/>
      <c r="K1" s="395"/>
      <c r="L1" s="395"/>
      <c r="M1" s="395"/>
      <c r="N1" s="395"/>
      <c r="O1" s="395"/>
      <c r="P1" s="395"/>
      <c r="Q1" s="395"/>
      <c r="R1" s="395"/>
      <c r="S1" s="395"/>
      <c r="T1" s="395"/>
      <c r="U1" s="395"/>
    </row>
    <row r="2" spans="1:21" x14ac:dyDescent="0.2">
      <c r="A2" s="395" t="s">
        <v>734</v>
      </c>
      <c r="B2" s="395"/>
      <c r="C2" s="395"/>
      <c r="D2" s="395"/>
      <c r="E2" s="395"/>
      <c r="F2" s="395"/>
      <c r="G2" s="395"/>
      <c r="H2" s="395"/>
      <c r="I2" s="395"/>
      <c r="J2" s="395"/>
      <c r="K2" s="395"/>
      <c r="L2" s="395"/>
      <c r="M2" s="395"/>
      <c r="N2" s="395"/>
      <c r="O2" s="395"/>
      <c r="P2" s="395"/>
      <c r="Q2" s="395"/>
      <c r="R2" s="395"/>
      <c r="S2" s="395"/>
      <c r="T2" s="395"/>
      <c r="U2" s="395"/>
    </row>
    <row r="3" spans="1:21" ht="25.5" x14ac:dyDescent="0.2">
      <c r="A3" s="395"/>
      <c r="B3" s="415" t="s">
        <v>735</v>
      </c>
      <c r="C3" s="395"/>
      <c r="D3" s="395"/>
      <c r="E3" s="395"/>
      <c r="F3" s="395"/>
      <c r="G3" s="395"/>
      <c r="H3" s="395"/>
      <c r="I3" s="395"/>
      <c r="J3" s="395"/>
      <c r="K3" s="395"/>
      <c r="L3" s="395"/>
      <c r="M3" s="395"/>
      <c r="N3" s="395"/>
      <c r="O3" s="395"/>
      <c r="P3" s="395"/>
      <c r="Q3" s="395"/>
      <c r="R3" s="395"/>
      <c r="S3" s="395"/>
      <c r="T3" s="395"/>
      <c r="U3" s="395"/>
    </row>
    <row r="4" spans="1:21" x14ac:dyDescent="0.2">
      <c r="A4" s="395"/>
      <c r="B4" s="395"/>
      <c r="C4" s="395"/>
      <c r="D4" s="395"/>
      <c r="E4" s="395"/>
      <c r="F4" s="395" t="s">
        <v>673</v>
      </c>
      <c r="G4" s="395" t="s">
        <v>674</v>
      </c>
      <c r="H4" s="395"/>
      <c r="I4" s="395"/>
      <c r="J4" s="395"/>
      <c r="K4" s="395"/>
      <c r="L4" s="395"/>
      <c r="M4" s="395"/>
      <c r="N4" s="395"/>
      <c r="O4" s="395"/>
      <c r="P4" s="395"/>
      <c r="Q4" s="395"/>
      <c r="R4" s="395"/>
      <c r="S4" s="395"/>
      <c r="T4" s="395"/>
      <c r="U4" s="395"/>
    </row>
    <row r="5" spans="1:21" ht="15" x14ac:dyDescent="0.25">
      <c r="A5" s="395"/>
      <c r="B5" s="395"/>
      <c r="C5" s="395"/>
      <c r="D5" s="395"/>
      <c r="E5" s="395"/>
      <c r="F5" s="395"/>
      <c r="G5" s="446" t="s">
        <v>736</v>
      </c>
      <c r="H5" s="392" t="s">
        <v>676</v>
      </c>
      <c r="I5" s="649" t="s">
        <v>677</v>
      </c>
      <c r="J5" s="649">
        <v>0</v>
      </c>
      <c r="K5" s="649">
        <v>0</v>
      </c>
      <c r="L5" s="649">
        <v>0</v>
      </c>
      <c r="M5" s="395"/>
      <c r="N5" s="395"/>
      <c r="O5" s="395"/>
      <c r="P5" s="395"/>
      <c r="Q5" s="263"/>
      <c r="R5" s="263"/>
      <c r="S5" s="263"/>
      <c r="T5" s="263"/>
      <c r="U5" s="263"/>
    </row>
    <row r="6" spans="1:21" ht="15" x14ac:dyDescent="0.25">
      <c r="A6" s="395"/>
      <c r="B6" s="395"/>
      <c r="C6" s="395"/>
      <c r="D6" s="395"/>
      <c r="E6" s="395"/>
      <c r="F6" s="395"/>
      <c r="G6" s="3" t="s">
        <v>678</v>
      </c>
      <c r="H6" s="398" t="s">
        <v>679</v>
      </c>
      <c r="I6" s="392">
        <v>1</v>
      </c>
      <c r="J6" s="392">
        <v>2</v>
      </c>
      <c r="K6" s="392">
        <v>3</v>
      </c>
      <c r="L6" s="392">
        <v>4</v>
      </c>
      <c r="M6" s="395"/>
      <c r="N6" s="395"/>
      <c r="O6" s="395"/>
      <c r="P6" s="395"/>
      <c r="Q6" s="395"/>
      <c r="R6" s="395"/>
      <c r="S6" s="263"/>
      <c r="T6" s="263"/>
      <c r="U6" s="263"/>
    </row>
    <row r="7" spans="1:21" ht="15" x14ac:dyDescent="0.25">
      <c r="A7" s="263" t="s">
        <v>737</v>
      </c>
      <c r="B7" s="2" t="s">
        <v>738</v>
      </c>
      <c r="C7" s="2" t="s">
        <v>739</v>
      </c>
      <c r="D7" s="263"/>
      <c r="E7" s="395"/>
      <c r="F7" s="395"/>
      <c r="G7" s="3" t="s">
        <v>274</v>
      </c>
      <c r="H7" s="447">
        <v>40.394871794871797</v>
      </c>
      <c r="I7" s="447">
        <v>16.037884446176996</v>
      </c>
      <c r="J7" s="447">
        <v>12.425139949880284</v>
      </c>
      <c r="K7" s="448">
        <v>5.9019414761931346</v>
      </c>
      <c r="L7" s="448">
        <v>4.7202871281626688</v>
      </c>
      <c r="M7" s="395"/>
      <c r="N7" s="395"/>
      <c r="O7" s="395"/>
      <c r="P7" s="395"/>
      <c r="Q7" s="395"/>
      <c r="R7" s="395"/>
      <c r="S7" s="263"/>
      <c r="T7" s="263"/>
      <c r="U7" s="263"/>
    </row>
    <row r="8" spans="1:21" ht="15" x14ac:dyDescent="0.25">
      <c r="A8" s="263" t="s">
        <v>740</v>
      </c>
      <c r="B8" s="263" t="s">
        <v>741</v>
      </c>
      <c r="C8" s="263" t="s">
        <v>741</v>
      </c>
      <c r="D8" s="263"/>
      <c r="E8" s="395"/>
      <c r="F8" s="395"/>
      <c r="G8" s="3" t="s">
        <v>680</v>
      </c>
      <c r="H8" s="447">
        <v>19.776923076923076</v>
      </c>
      <c r="I8" s="448">
        <v>5.5375384615384613</v>
      </c>
      <c r="J8" s="448">
        <v>5.5375384615384613</v>
      </c>
      <c r="K8" s="448">
        <v>5.5375384615384613</v>
      </c>
      <c r="L8" s="448">
        <v>5.5375384615384613</v>
      </c>
      <c r="M8" s="395"/>
      <c r="N8" s="395"/>
      <c r="O8" s="395"/>
      <c r="P8" s="395"/>
      <c r="Q8" s="395"/>
      <c r="R8" s="395"/>
      <c r="S8" s="263"/>
      <c r="T8" s="263"/>
      <c r="U8" s="263"/>
    </row>
    <row r="9" spans="1:21" ht="15" x14ac:dyDescent="0.25">
      <c r="A9" s="263" t="s">
        <v>680</v>
      </c>
      <c r="B9" s="263" t="s">
        <v>742</v>
      </c>
      <c r="C9" s="263" t="s">
        <v>743</v>
      </c>
      <c r="D9" s="263"/>
      <c r="E9" s="395"/>
      <c r="F9" s="395"/>
      <c r="G9" s="3" t="s">
        <v>275</v>
      </c>
      <c r="H9" s="448">
        <v>4.7089743589743591</v>
      </c>
      <c r="I9" s="448">
        <v>4.1916666666666664</v>
      </c>
      <c r="J9" s="448">
        <v>4.1916666666666664</v>
      </c>
      <c r="K9" s="448">
        <v>1.8966666666666665</v>
      </c>
      <c r="L9" s="448">
        <v>1.895</v>
      </c>
      <c r="M9" s="395"/>
      <c r="N9" s="263"/>
      <c r="O9" s="395"/>
      <c r="P9" s="395"/>
      <c r="Q9" s="395"/>
      <c r="R9" s="395"/>
      <c r="S9" s="263"/>
      <c r="T9" s="263"/>
      <c r="U9" s="263"/>
    </row>
    <row r="10" spans="1:21" ht="15" x14ac:dyDescent="0.25">
      <c r="A10" s="263" t="s">
        <v>275</v>
      </c>
      <c r="B10" s="263" t="s">
        <v>744</v>
      </c>
      <c r="C10" s="263" t="s">
        <v>741</v>
      </c>
      <c r="D10" s="263"/>
      <c r="E10" s="395"/>
      <c r="F10" s="395"/>
      <c r="G10" s="4" t="s">
        <v>682</v>
      </c>
      <c r="H10" s="448">
        <v>5.8179487179487186</v>
      </c>
      <c r="I10" s="448">
        <v>4.6348717948717955</v>
      </c>
      <c r="J10" s="448">
        <v>4.6348717948717955</v>
      </c>
      <c r="K10" s="448">
        <v>4.6348717948717955</v>
      </c>
      <c r="L10" s="448">
        <v>4.6348717948717955</v>
      </c>
      <c r="M10" s="395"/>
      <c r="N10" s="395" t="s">
        <v>706</v>
      </c>
      <c r="O10" s="193">
        <f>'Prev Seattle Targets ref'!B10</f>
        <v>25</v>
      </c>
      <c r="P10" s="395"/>
      <c r="Q10" s="395"/>
      <c r="R10" s="395"/>
      <c r="S10" s="263"/>
      <c r="T10" s="263"/>
      <c r="U10" s="263"/>
    </row>
    <row r="11" spans="1:21" ht="15" x14ac:dyDescent="0.25">
      <c r="A11" s="263" t="s">
        <v>527</v>
      </c>
      <c r="B11" s="263" t="s">
        <v>745</v>
      </c>
      <c r="C11" s="263" t="s">
        <v>746</v>
      </c>
      <c r="D11" s="263"/>
      <c r="E11" s="395"/>
      <c r="F11" s="395"/>
      <c r="G11" s="3" t="s">
        <v>683</v>
      </c>
      <c r="H11" s="448">
        <v>10.938461538461539</v>
      </c>
      <c r="I11" s="448">
        <v>8.1917948717948725</v>
      </c>
      <c r="J11" s="448">
        <v>12.07465110613246</v>
      </c>
      <c r="K11" s="448">
        <v>8.1917948717948725</v>
      </c>
      <c r="L11" s="448">
        <v>8.1917948717948725</v>
      </c>
      <c r="M11" s="395"/>
      <c r="N11" s="193" t="str">
        <f>'Prev Seattle Targets ref'!A10</f>
        <v>Hotel Motel</v>
      </c>
      <c r="O11" s="193">
        <v>2050</v>
      </c>
      <c r="P11" s="395">
        <v>2015</v>
      </c>
      <c r="Q11" s="395"/>
      <c r="R11" s="395"/>
      <c r="S11" s="263"/>
      <c r="T11" s="263"/>
      <c r="U11" s="263"/>
    </row>
    <row r="12" spans="1:21" ht="15" x14ac:dyDescent="0.25">
      <c r="A12" s="263" t="s">
        <v>747</v>
      </c>
      <c r="B12" s="263" t="s">
        <v>748</v>
      </c>
      <c r="C12" s="263" t="s">
        <v>749</v>
      </c>
      <c r="D12" s="263"/>
      <c r="E12" s="395"/>
      <c r="F12" s="395"/>
      <c r="G12" s="3" t="s">
        <v>684</v>
      </c>
      <c r="H12" s="447">
        <v>2.8641025641025641</v>
      </c>
      <c r="I12" s="447">
        <v>2.8642820512820513</v>
      </c>
      <c r="J12" s="447">
        <v>2.8642820512820513</v>
      </c>
      <c r="K12" s="447">
        <v>2.8642820512820513</v>
      </c>
      <c r="L12" s="447">
        <v>2.8642820512820513</v>
      </c>
      <c r="M12" s="395"/>
      <c r="N12" s="444" t="s">
        <v>750</v>
      </c>
      <c r="O12" s="394">
        <f>'Prev Seattle Targets ref'!D36</f>
        <v>7.7839007937717897</v>
      </c>
      <c r="P12" s="394">
        <f>'Prev Seattle Targets ref'!E36</f>
        <v>8.5818922796785593</v>
      </c>
      <c r="Q12" s="263"/>
      <c r="R12" s="263"/>
      <c r="S12" s="263"/>
      <c r="T12" s="263"/>
      <c r="U12" s="263"/>
    </row>
    <row r="13" spans="1:21" ht="15" x14ac:dyDescent="0.25">
      <c r="A13" s="395"/>
      <c r="B13" s="395"/>
      <c r="C13" s="395"/>
      <c r="D13" s="395"/>
      <c r="E13" s="395"/>
      <c r="F13" s="395"/>
      <c r="G13" s="398" t="s">
        <v>751</v>
      </c>
      <c r="H13" s="447">
        <v>63.035897435897439</v>
      </c>
      <c r="I13" s="447">
        <v>24.43970495899751</v>
      </c>
      <c r="J13" s="447">
        <v>20.826960462700796</v>
      </c>
      <c r="K13" s="447">
        <v>14.303761989013648</v>
      </c>
      <c r="L13" s="447">
        <v>13.122107640983181</v>
      </c>
      <c r="M13" s="395"/>
      <c r="N13" s="263"/>
      <c r="O13" s="263"/>
      <c r="P13" s="263"/>
      <c r="Q13" s="263"/>
      <c r="R13" s="263"/>
      <c r="S13" s="263"/>
      <c r="T13" s="263"/>
      <c r="U13" s="263"/>
    </row>
    <row r="14" spans="1:21" ht="15" x14ac:dyDescent="0.25">
      <c r="A14" s="395"/>
      <c r="B14" s="395"/>
      <c r="C14" s="395"/>
      <c r="D14" s="395"/>
      <c r="E14" s="395"/>
      <c r="F14" s="395"/>
      <c r="G14" s="398" t="s">
        <v>474</v>
      </c>
      <c r="H14" s="448">
        <v>21.465384615384615</v>
      </c>
      <c r="I14" s="448">
        <v>22.555871794871795</v>
      </c>
      <c r="J14" s="448">
        <v>26.438728029209383</v>
      </c>
      <c r="K14" s="448">
        <v>26.16281327106493</v>
      </c>
      <c r="L14" s="448">
        <v>24.979492256367799</v>
      </c>
      <c r="M14" s="395"/>
      <c r="N14" s="263"/>
      <c r="O14" s="263"/>
      <c r="P14" s="263"/>
      <c r="Q14" s="263"/>
      <c r="R14" s="263"/>
      <c r="S14" s="263"/>
      <c r="T14" s="263"/>
      <c r="U14" s="263"/>
    </row>
    <row r="15" spans="1:21" ht="15" x14ac:dyDescent="0.25">
      <c r="A15" s="395"/>
      <c r="B15" s="395"/>
      <c r="C15" s="395"/>
      <c r="D15" s="395"/>
      <c r="E15" s="395"/>
      <c r="F15" s="395"/>
      <c r="G15" s="398" t="s">
        <v>475</v>
      </c>
      <c r="H15" s="449">
        <v>84.501282051282061</v>
      </c>
      <c r="I15" s="449">
        <v>46.995576753869301</v>
      </c>
      <c r="J15" s="449">
        <v>47.265688491910183</v>
      </c>
      <c r="K15" s="449">
        <v>40.466575260078578</v>
      </c>
      <c r="L15" s="449">
        <v>38.10159989735098</v>
      </c>
      <c r="M15" s="395"/>
      <c r="N15" s="263"/>
      <c r="O15" s="395"/>
      <c r="P15" s="395"/>
      <c r="Q15" s="263"/>
      <c r="R15" s="263"/>
      <c r="S15" s="263"/>
      <c r="T15" s="263"/>
      <c r="U15" s="263"/>
    </row>
    <row r="16" spans="1:21" ht="15" x14ac:dyDescent="0.25">
      <c r="A16" s="395"/>
      <c r="B16" s="395"/>
      <c r="C16" s="395"/>
      <c r="D16" s="395"/>
      <c r="E16" s="395"/>
      <c r="F16" s="395"/>
      <c r="G16" s="395"/>
      <c r="H16" s="395"/>
      <c r="I16" s="395"/>
      <c r="J16" s="395"/>
      <c r="K16" s="395"/>
      <c r="L16" s="395"/>
      <c r="M16" s="395"/>
      <c r="N16" s="263"/>
      <c r="O16" s="395"/>
      <c r="P16" s="395"/>
      <c r="Q16" s="263"/>
      <c r="R16" s="263"/>
      <c r="S16" s="263"/>
      <c r="T16" s="263"/>
      <c r="U16" s="263"/>
    </row>
    <row r="18" spans="1:29" x14ac:dyDescent="0.2">
      <c r="A18" s="395"/>
      <c r="B18" s="395"/>
      <c r="C18" s="395"/>
      <c r="D18" s="395"/>
      <c r="E18" s="395"/>
      <c r="F18" s="395" t="s">
        <v>691</v>
      </c>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row>
    <row r="19" spans="1:29" ht="12.75" customHeight="1" x14ac:dyDescent="0.2">
      <c r="A19" s="395"/>
      <c r="B19" s="395"/>
      <c r="C19" s="395"/>
      <c r="D19" s="395"/>
      <c r="E19" s="395"/>
      <c r="F19" s="395"/>
      <c r="G19" s="5" t="s">
        <v>692</v>
      </c>
      <c r="H19" s="183" t="s">
        <v>409</v>
      </c>
      <c r="I19" s="183" t="s">
        <v>409</v>
      </c>
      <c r="J19" s="183" t="s">
        <v>409</v>
      </c>
      <c r="K19" s="183" t="s">
        <v>409</v>
      </c>
      <c r="L19" s="395"/>
      <c r="M19" s="5" t="s">
        <v>692</v>
      </c>
      <c r="N19" s="186" t="s">
        <v>418</v>
      </c>
      <c r="O19" s="186" t="s">
        <v>418</v>
      </c>
      <c r="P19" s="186" t="s">
        <v>418</v>
      </c>
      <c r="Q19" s="186" t="s">
        <v>418</v>
      </c>
      <c r="R19" s="395"/>
      <c r="S19" s="5" t="s">
        <v>692</v>
      </c>
      <c r="T19" s="185" t="s">
        <v>405</v>
      </c>
      <c r="U19" s="185" t="s">
        <v>405</v>
      </c>
      <c r="V19" s="185" t="s">
        <v>405</v>
      </c>
      <c r="W19" s="185" t="s">
        <v>405</v>
      </c>
      <c r="X19" s="395"/>
      <c r="Y19" s="5" t="s">
        <v>692</v>
      </c>
      <c r="Z19" s="185" t="s">
        <v>693</v>
      </c>
      <c r="AA19" s="185" t="s">
        <v>693</v>
      </c>
      <c r="AB19" s="185" t="s">
        <v>693</v>
      </c>
      <c r="AC19" s="185" t="s">
        <v>693</v>
      </c>
    </row>
    <row r="20" spans="1:29" ht="25.5" x14ac:dyDescent="0.2">
      <c r="A20" s="395"/>
      <c r="B20" s="395"/>
      <c r="C20" s="395"/>
      <c r="D20" s="395"/>
      <c r="E20" s="395"/>
      <c r="F20" s="395"/>
      <c r="G20" s="5" t="s">
        <v>694</v>
      </c>
      <c r="H20" s="183"/>
      <c r="I20" s="12" t="s">
        <v>695</v>
      </c>
      <c r="J20" s="12" t="s">
        <v>696</v>
      </c>
      <c r="K20" s="13" t="s">
        <v>697</v>
      </c>
      <c r="L20" s="395"/>
      <c r="M20" s="5" t="s">
        <v>694</v>
      </c>
      <c r="N20" s="195"/>
      <c r="O20" s="12" t="s">
        <v>698</v>
      </c>
      <c r="P20" s="12" t="s">
        <v>696</v>
      </c>
      <c r="Q20" s="13" t="s">
        <v>697</v>
      </c>
      <c r="R20" s="395"/>
      <c r="S20" s="5" t="s">
        <v>694</v>
      </c>
      <c r="T20" s="185"/>
      <c r="U20" s="12" t="s">
        <v>698</v>
      </c>
      <c r="V20" s="12" t="s">
        <v>696</v>
      </c>
      <c r="W20" s="13" t="s">
        <v>697</v>
      </c>
      <c r="X20" s="395"/>
      <c r="Y20" s="5" t="s">
        <v>694</v>
      </c>
      <c r="Z20" s="185"/>
      <c r="AA20" s="12" t="s">
        <v>698</v>
      </c>
      <c r="AB20" s="12" t="s">
        <v>696</v>
      </c>
      <c r="AC20" s="13" t="s">
        <v>697</v>
      </c>
    </row>
    <row r="21" spans="1:29" ht="25.5" x14ac:dyDescent="0.2">
      <c r="A21" s="395"/>
      <c r="B21" s="395"/>
      <c r="C21" s="395"/>
      <c r="D21" s="395"/>
      <c r="E21" s="395"/>
      <c r="F21" s="395"/>
      <c r="G21" s="6" t="s">
        <v>699</v>
      </c>
      <c r="H21" s="6" t="s">
        <v>700</v>
      </c>
      <c r="I21" s="6">
        <v>1</v>
      </c>
      <c r="J21" s="6">
        <v>2</v>
      </c>
      <c r="K21" s="6">
        <v>3</v>
      </c>
      <c r="L21" s="395"/>
      <c r="M21" s="6" t="s">
        <v>699</v>
      </c>
      <c r="N21" s="6" t="s">
        <v>700</v>
      </c>
      <c r="O21" s="6">
        <v>1</v>
      </c>
      <c r="P21" s="6">
        <v>2</v>
      </c>
      <c r="Q21" s="6">
        <v>3</v>
      </c>
      <c r="R21" s="395"/>
      <c r="S21" s="6" t="s">
        <v>699</v>
      </c>
      <c r="T21" s="6" t="s">
        <v>700</v>
      </c>
      <c r="U21" s="6">
        <v>1</v>
      </c>
      <c r="V21" s="6">
        <v>2</v>
      </c>
      <c r="W21" s="6">
        <v>3</v>
      </c>
      <c r="X21" s="395"/>
      <c r="Y21" s="6" t="s">
        <v>699</v>
      </c>
      <c r="Z21" s="6" t="s">
        <v>700</v>
      </c>
      <c r="AA21" s="6">
        <v>1</v>
      </c>
      <c r="AB21" s="6">
        <v>2</v>
      </c>
      <c r="AC21" s="6">
        <v>3</v>
      </c>
    </row>
    <row r="22" spans="1:29" x14ac:dyDescent="0.2">
      <c r="A22" s="395"/>
      <c r="B22" s="395"/>
      <c r="C22" s="395"/>
      <c r="D22" s="395"/>
      <c r="E22" s="395"/>
      <c r="F22" s="395"/>
      <c r="G22" s="6" t="s">
        <v>274</v>
      </c>
      <c r="H22" s="9">
        <f t="shared" ref="H22:I24" si="0">H7</f>
        <v>40.394871794871797</v>
      </c>
      <c r="I22" s="9">
        <f t="shared" si="0"/>
        <v>16.037884446176996</v>
      </c>
      <c r="J22" s="187">
        <f>I22*'Electrification of Gas End Uses'!$D$4</f>
        <v>5.1321230227766383</v>
      </c>
      <c r="K22" s="187" t="e">
        <f>#REF!*(1+#REF!)/'Electrification of Gas End Uses'!D12</f>
        <v>#REF!</v>
      </c>
      <c r="L22" s="395"/>
      <c r="M22" s="6" t="s">
        <v>274</v>
      </c>
      <c r="N22" s="17">
        <v>9</v>
      </c>
      <c r="O22" s="9" t="e">
        <f>N22*(1-#REF!)</f>
        <v>#REF!</v>
      </c>
      <c r="P22" s="187" t="e">
        <f>O22*'Electrification of Gas End Uses'!$D$4</f>
        <v>#REF!</v>
      </c>
      <c r="Q22" s="11" t="e">
        <f>K22/J22*P22</f>
        <v>#REF!</v>
      </c>
      <c r="R22" s="395"/>
      <c r="S22" s="6" t="s">
        <v>274</v>
      </c>
      <c r="T22" s="17">
        <f>N22</f>
        <v>9</v>
      </c>
      <c r="U22" s="9" t="e">
        <f>O22/N22*T22</f>
        <v>#REF!</v>
      </c>
      <c r="V22" s="187" t="e">
        <f>U22*'Electrification of Gas End Uses'!$D$4</f>
        <v>#REF!</v>
      </c>
      <c r="W22" s="11" t="e">
        <f>Q22/P22*V22</f>
        <v>#REF!</v>
      </c>
      <c r="X22" s="395"/>
      <c r="Y22" s="6" t="s">
        <v>274</v>
      </c>
      <c r="Z22" s="17">
        <f>T22</f>
        <v>9</v>
      </c>
      <c r="AA22" s="9" t="e">
        <f>U22/T22*Z22</f>
        <v>#REF!</v>
      </c>
      <c r="AB22" s="187" t="e">
        <f>AA22*'Electrification of Gas End Uses'!$D$4</f>
        <v>#REF!</v>
      </c>
      <c r="AC22" s="11" t="e">
        <f>W22/V22*AB22</f>
        <v>#REF!</v>
      </c>
    </row>
    <row r="23" spans="1:29" x14ac:dyDescent="0.2">
      <c r="A23" s="395"/>
      <c r="B23" s="395"/>
      <c r="C23" s="395"/>
      <c r="D23" s="395"/>
      <c r="E23" s="395"/>
      <c r="F23" s="129"/>
      <c r="G23" s="6" t="s">
        <v>680</v>
      </c>
      <c r="H23" s="9">
        <f>'Prev Seattle Targets ref'!E41</f>
        <v>22.403418684913099</v>
      </c>
      <c r="I23" s="9">
        <f>H23*0.8</f>
        <v>17.922734947930479</v>
      </c>
      <c r="J23" s="11">
        <f>I23*'Electrification of Gas End Uses'!$E$4</f>
        <v>7.3320279332442864</v>
      </c>
      <c r="K23" s="11">
        <f>J23</f>
        <v>7.3320279332442864</v>
      </c>
      <c r="L23" s="395"/>
      <c r="M23" s="6" t="s">
        <v>680</v>
      </c>
      <c r="N23" s="9">
        <f>$H23</f>
        <v>22.403418684913099</v>
      </c>
      <c r="O23" s="9">
        <f>N23*0.8</f>
        <v>17.922734947930479</v>
      </c>
      <c r="P23" s="11">
        <f>O23*'Electrification of Gas End Uses'!$E$4</f>
        <v>7.3320279332442864</v>
      </c>
      <c r="Q23" s="11">
        <f>$K23</f>
        <v>7.3320279332442864</v>
      </c>
      <c r="R23" s="395"/>
      <c r="S23" s="6" t="s">
        <v>680</v>
      </c>
      <c r="T23" s="9">
        <f>$H23</f>
        <v>22.403418684913099</v>
      </c>
      <c r="U23" s="9">
        <f>T23*0.8</f>
        <v>17.922734947930479</v>
      </c>
      <c r="V23" s="11">
        <f>U23*'Electrification of Gas End Uses'!$E$4</f>
        <v>7.3320279332442864</v>
      </c>
      <c r="W23" s="11">
        <f>$K23</f>
        <v>7.3320279332442864</v>
      </c>
      <c r="X23" s="395"/>
      <c r="Y23" s="6" t="s">
        <v>680</v>
      </c>
      <c r="Z23" s="9">
        <f>$H23</f>
        <v>22.403418684913099</v>
      </c>
      <c r="AA23" s="9">
        <f>Z23*0.8</f>
        <v>17.922734947930479</v>
      </c>
      <c r="AB23" s="11">
        <f>AA23*'Electrification of Gas End Uses'!$E$4</f>
        <v>7.3320279332442864</v>
      </c>
      <c r="AC23" s="11">
        <f>$K23</f>
        <v>7.3320279332442864</v>
      </c>
    </row>
    <row r="24" spans="1:29" x14ac:dyDescent="0.2">
      <c r="A24" s="395"/>
      <c r="B24" s="395"/>
      <c r="C24" s="395"/>
      <c r="D24" s="395"/>
      <c r="E24" s="395"/>
      <c r="F24" s="395"/>
      <c r="G24" s="6" t="s">
        <v>275</v>
      </c>
      <c r="H24" s="11">
        <f t="shared" si="0"/>
        <v>4.7089743589743591</v>
      </c>
      <c r="I24" s="11">
        <f t="shared" si="0"/>
        <v>4.1916666666666664</v>
      </c>
      <c r="J24" s="260">
        <f>K9</f>
        <v>1.8966666666666665</v>
      </c>
      <c r="K24" s="8" t="e">
        <f>#REF!*(1+#REF!)/'Electrification of Gas End Uses'!D12</f>
        <v>#REF!</v>
      </c>
      <c r="L24" s="395"/>
      <c r="M24" s="6" t="s">
        <v>275</v>
      </c>
      <c r="N24" s="18">
        <v>3</v>
      </c>
      <c r="O24" s="11">
        <f t="shared" ref="O24:Q26" si="1">I24</f>
        <v>4.1916666666666664</v>
      </c>
      <c r="P24" s="260">
        <f t="shared" si="1"/>
        <v>1.8966666666666665</v>
      </c>
      <c r="Q24" s="260" t="e">
        <f t="shared" si="1"/>
        <v>#REF!</v>
      </c>
      <c r="R24" s="395"/>
      <c r="S24" s="6" t="s">
        <v>275</v>
      </c>
      <c r="T24" s="18">
        <v>10</v>
      </c>
      <c r="U24" s="11">
        <f>O24/N24*T24</f>
        <v>13.972222222222221</v>
      </c>
      <c r="V24" s="260">
        <f>P24/O24*U24</f>
        <v>6.3222222222222211</v>
      </c>
      <c r="W24" s="260" t="e">
        <f>Q24/P24*V24</f>
        <v>#REF!</v>
      </c>
      <c r="X24" s="395"/>
      <c r="Y24" s="6" t="s">
        <v>275</v>
      </c>
      <c r="Z24" s="18">
        <v>3</v>
      </c>
      <c r="AA24" s="11">
        <f>$I24</f>
        <v>4.1916666666666664</v>
      </c>
      <c r="AB24" s="11">
        <f>$J24</f>
        <v>1.8966666666666665</v>
      </c>
      <c r="AC24" s="11" t="e">
        <f>$K24</f>
        <v>#REF!</v>
      </c>
    </row>
    <row r="25" spans="1:29" x14ac:dyDescent="0.2">
      <c r="A25" s="395"/>
      <c r="B25" s="395"/>
      <c r="C25" s="395"/>
      <c r="D25" s="395"/>
      <c r="E25" s="395"/>
      <c r="F25" s="129"/>
      <c r="G25" s="6" t="s">
        <v>701</v>
      </c>
      <c r="H25" s="11">
        <f>H10+H11</f>
        <v>16.756410256410255</v>
      </c>
      <c r="I25" s="11">
        <f>I10+I11</f>
        <v>12.826666666666668</v>
      </c>
      <c r="J25" s="11">
        <f>K10+K11</f>
        <v>12.826666666666668</v>
      </c>
      <c r="K25" s="11">
        <f>L10+L11</f>
        <v>12.826666666666668</v>
      </c>
      <c r="L25" s="395"/>
      <c r="M25" s="6" t="s">
        <v>701</v>
      </c>
      <c r="N25" s="11">
        <v>12</v>
      </c>
      <c r="O25" s="11">
        <f t="shared" si="1"/>
        <v>12.826666666666668</v>
      </c>
      <c r="P25" s="11">
        <f t="shared" si="1"/>
        <v>12.826666666666668</v>
      </c>
      <c r="Q25" s="11">
        <f t="shared" si="1"/>
        <v>12.826666666666668</v>
      </c>
      <c r="R25" s="395"/>
      <c r="S25" s="6" t="s">
        <v>701</v>
      </c>
      <c r="T25" s="11">
        <v>12</v>
      </c>
      <c r="U25" s="11">
        <f t="shared" ref="U25:W26" si="2">O25</f>
        <v>12.826666666666668</v>
      </c>
      <c r="V25" s="11">
        <f t="shared" si="2"/>
        <v>12.826666666666668</v>
      </c>
      <c r="W25" s="11">
        <f t="shared" si="2"/>
        <v>12.826666666666668</v>
      </c>
      <c r="X25" s="395"/>
      <c r="Y25" s="6" t="s">
        <v>701</v>
      </c>
      <c r="Z25" s="11">
        <v>12</v>
      </c>
      <c r="AA25" s="11">
        <f t="shared" ref="AA25:AC26" si="3">U25</f>
        <v>12.826666666666668</v>
      </c>
      <c r="AB25" s="11">
        <f t="shared" si="3"/>
        <v>12.826666666666668</v>
      </c>
      <c r="AC25" s="11">
        <f t="shared" si="3"/>
        <v>12.826666666666668</v>
      </c>
    </row>
    <row r="26" spans="1:29" x14ac:dyDescent="0.2">
      <c r="A26" s="395"/>
      <c r="B26" s="395"/>
      <c r="C26" s="395"/>
      <c r="D26" s="395"/>
      <c r="E26" s="395"/>
      <c r="F26" s="395"/>
      <c r="G26" s="7" t="s">
        <v>526</v>
      </c>
      <c r="H26" s="9">
        <f>'Typology Baseline - climate adj'!F19</f>
        <v>6.6</v>
      </c>
      <c r="I26" s="9">
        <f>H26</f>
        <v>6.6</v>
      </c>
      <c r="J26" s="9">
        <f>I26*'Electrification of Gas End Uses'!F4</f>
        <v>4.020731707317073</v>
      </c>
      <c r="K26" s="9">
        <f>J26</f>
        <v>4.020731707317073</v>
      </c>
      <c r="L26" s="395"/>
      <c r="M26" s="7" t="s">
        <v>526</v>
      </c>
      <c r="N26" s="9">
        <f>H26</f>
        <v>6.6</v>
      </c>
      <c r="O26" s="9">
        <f t="shared" si="1"/>
        <v>6.6</v>
      </c>
      <c r="P26" s="9">
        <f t="shared" si="1"/>
        <v>4.020731707317073</v>
      </c>
      <c r="Q26" s="9">
        <f t="shared" si="1"/>
        <v>4.020731707317073</v>
      </c>
      <c r="R26" s="395"/>
      <c r="S26" s="7" t="s">
        <v>526</v>
      </c>
      <c r="T26" s="9">
        <f>N26</f>
        <v>6.6</v>
      </c>
      <c r="U26" s="9">
        <f t="shared" si="2"/>
        <v>6.6</v>
      </c>
      <c r="V26" s="9">
        <f t="shared" si="2"/>
        <v>4.020731707317073</v>
      </c>
      <c r="W26" s="9">
        <f t="shared" si="2"/>
        <v>4.020731707317073</v>
      </c>
      <c r="X26" s="395"/>
      <c r="Y26" s="7" t="s">
        <v>526</v>
      </c>
      <c r="Z26" s="9">
        <f>T26</f>
        <v>6.6</v>
      </c>
      <c r="AA26" s="9">
        <f t="shared" si="3"/>
        <v>6.6</v>
      </c>
      <c r="AB26" s="9">
        <f t="shared" si="3"/>
        <v>4.020731707317073</v>
      </c>
      <c r="AC26" s="9">
        <f t="shared" si="3"/>
        <v>4.020731707317073</v>
      </c>
    </row>
    <row r="27" spans="1:29" x14ac:dyDescent="0.2">
      <c r="A27" s="395"/>
      <c r="B27" s="395"/>
      <c r="C27" s="395"/>
      <c r="D27" s="395"/>
      <c r="E27" s="395"/>
      <c r="F27" s="395"/>
      <c r="G27" s="7" t="s">
        <v>702</v>
      </c>
      <c r="H27" s="9">
        <f>SUM(H26,H22:H23)</f>
        <v>69.39829047978489</v>
      </c>
      <c r="I27" s="9">
        <f>SUM(I26,I22,I23)</f>
        <v>40.560619394107476</v>
      </c>
      <c r="J27" s="9">
        <v>0</v>
      </c>
      <c r="K27" s="9">
        <v>0</v>
      </c>
      <c r="L27" s="395"/>
      <c r="M27" s="7" t="s">
        <v>702</v>
      </c>
      <c r="N27" s="9">
        <f>SUM(N26,N22:N23)</f>
        <v>38.0034186849131</v>
      </c>
      <c r="O27" s="9" t="e">
        <f>SUM(O26,O22,O23)</f>
        <v>#REF!</v>
      </c>
      <c r="P27" s="9">
        <v>0</v>
      </c>
      <c r="Q27" s="9">
        <v>0</v>
      </c>
      <c r="R27" s="395"/>
      <c r="S27" s="7" t="s">
        <v>702</v>
      </c>
      <c r="T27" s="9">
        <f>SUM(T26,T22:T23)</f>
        <v>38.0034186849131</v>
      </c>
      <c r="U27" s="9" t="e">
        <f>SUM(U26,U22,U23)</f>
        <v>#REF!</v>
      </c>
      <c r="V27" s="9">
        <v>0</v>
      </c>
      <c r="W27" s="9">
        <v>0</v>
      </c>
      <c r="X27" s="395"/>
      <c r="Y27" s="7" t="s">
        <v>702</v>
      </c>
      <c r="Z27" s="9">
        <f>SUM(Z26,Z22:Z23)</f>
        <v>38.0034186849131</v>
      </c>
      <c r="AA27" s="9" t="e">
        <f>SUM(AA26,AA22,AA23)</f>
        <v>#REF!</v>
      </c>
      <c r="AB27" s="9">
        <v>0</v>
      </c>
      <c r="AC27" s="9">
        <v>0</v>
      </c>
    </row>
    <row r="28" spans="1:29" x14ac:dyDescent="0.2">
      <c r="A28" s="395"/>
      <c r="B28" s="395"/>
      <c r="C28" s="395"/>
      <c r="D28" s="395"/>
      <c r="E28" s="395"/>
      <c r="F28" s="395"/>
      <c r="G28" s="8" t="s">
        <v>703</v>
      </c>
      <c r="H28" s="11">
        <f>SUM(H24:H25)</f>
        <v>21.465384615384615</v>
      </c>
      <c r="I28" s="11">
        <f>SUM(I24:I25)</f>
        <v>17.018333333333334</v>
      </c>
      <c r="J28" s="11">
        <f>SUM(J22:J26)</f>
        <v>31.208215996671331</v>
      </c>
      <c r="K28" s="11" t="e">
        <f>SUM(K22:K26)</f>
        <v>#REF!</v>
      </c>
      <c r="L28" s="395"/>
      <c r="M28" s="8" t="s">
        <v>703</v>
      </c>
      <c r="N28" s="11">
        <f>SUM(N24:N25)</f>
        <v>15</v>
      </c>
      <c r="O28" s="11">
        <f>SUM(O24:O25)</f>
        <v>17.018333333333334</v>
      </c>
      <c r="P28" s="11" t="e">
        <f>SUM(P22:P26)</f>
        <v>#REF!</v>
      </c>
      <c r="Q28" s="11" t="e">
        <f>SUM(Q22:Q26)</f>
        <v>#REF!</v>
      </c>
      <c r="R28" s="395"/>
      <c r="S28" s="8" t="s">
        <v>703</v>
      </c>
      <c r="T28" s="11">
        <f>SUM(T24:T25)</f>
        <v>22</v>
      </c>
      <c r="U28" s="11">
        <f>SUM(U24:U25)</f>
        <v>26.798888888888889</v>
      </c>
      <c r="V28" s="11" t="e">
        <f>SUM(V22:V26)</f>
        <v>#REF!</v>
      </c>
      <c r="W28" s="11" t="e">
        <f>SUM(W22:W26)</f>
        <v>#REF!</v>
      </c>
      <c r="X28" s="395"/>
      <c r="Y28" s="8" t="s">
        <v>703</v>
      </c>
      <c r="Z28" s="11">
        <f>SUM(Z24:Z25)</f>
        <v>15</v>
      </c>
      <c r="AA28" s="11">
        <f>SUM(AA24:AA25)</f>
        <v>17.018333333333334</v>
      </c>
      <c r="AB28" s="11" t="e">
        <f>SUM(AB22:AB26)</f>
        <v>#REF!</v>
      </c>
      <c r="AC28" s="11" t="e">
        <f>SUM(AC22:AC26)</f>
        <v>#REF!</v>
      </c>
    </row>
    <row r="29" spans="1:29" x14ac:dyDescent="0.2">
      <c r="A29" s="395"/>
      <c r="B29" s="395"/>
      <c r="C29" s="395"/>
      <c r="D29" s="395"/>
      <c r="E29" s="395"/>
      <c r="F29" s="395"/>
      <c r="G29" s="5" t="s">
        <v>690</v>
      </c>
      <c r="H29" s="14">
        <f>H27+H28</f>
        <v>90.863675095169498</v>
      </c>
      <c r="I29" s="14">
        <f>I27+I28</f>
        <v>57.578952727440807</v>
      </c>
      <c r="J29" s="14">
        <f>J27+J28</f>
        <v>31.208215996671331</v>
      </c>
      <c r="K29" s="14" t="e">
        <f>K27+K28</f>
        <v>#REF!</v>
      </c>
      <c r="L29" s="395"/>
      <c r="M29" s="5" t="s">
        <v>690</v>
      </c>
      <c r="N29" s="14">
        <f>N27+N28</f>
        <v>53.0034186849131</v>
      </c>
      <c r="O29" s="14" t="e">
        <f>O27+O28</f>
        <v>#REF!</v>
      </c>
      <c r="P29" s="14" t="e">
        <f>P27+P28</f>
        <v>#REF!</v>
      </c>
      <c r="Q29" s="14" t="e">
        <f>Q27+Q28</f>
        <v>#REF!</v>
      </c>
      <c r="R29" s="395"/>
      <c r="S29" s="5" t="s">
        <v>690</v>
      </c>
      <c r="T29" s="14">
        <f>T27+T28</f>
        <v>60.0034186849131</v>
      </c>
      <c r="U29" s="14" t="e">
        <f>U27+U28</f>
        <v>#REF!</v>
      </c>
      <c r="V29" s="14" t="e">
        <f>V27+V28</f>
        <v>#REF!</v>
      </c>
      <c r="W29" s="14" t="e">
        <f>W27+W28</f>
        <v>#REF!</v>
      </c>
      <c r="X29" s="395"/>
      <c r="Y29" s="5" t="s">
        <v>690</v>
      </c>
      <c r="Z29" s="14">
        <f>Z27+Z28</f>
        <v>53.0034186849131</v>
      </c>
      <c r="AA29" s="14" t="e">
        <f>AA27+AA28</f>
        <v>#REF!</v>
      </c>
      <c r="AB29" s="14" t="e">
        <f>AB27+AB28</f>
        <v>#REF!</v>
      </c>
      <c r="AC29" s="14" t="e">
        <f>AC27+AC28</f>
        <v>#REF!</v>
      </c>
    </row>
    <row r="30" spans="1:29" x14ac:dyDescent="0.2">
      <c r="A30" s="395"/>
      <c r="B30" s="395"/>
      <c r="C30" s="395"/>
      <c r="D30" s="395"/>
      <c r="E30" s="395"/>
      <c r="F30" s="395"/>
      <c r="G30" s="395"/>
      <c r="H30" s="91"/>
      <c r="I30" s="395"/>
      <c r="J30" s="395"/>
      <c r="K30" s="395"/>
      <c r="L30" s="395"/>
      <c r="M30" s="395"/>
      <c r="N30" s="395"/>
      <c r="O30" s="395"/>
      <c r="P30" s="395"/>
      <c r="Q30" s="395"/>
      <c r="R30" s="395"/>
      <c r="S30" s="395"/>
      <c r="T30" s="395"/>
      <c r="U30" s="395"/>
      <c r="V30" s="395"/>
      <c r="W30" s="395"/>
      <c r="X30" s="395"/>
      <c r="Y30" s="395"/>
      <c r="Z30" s="395"/>
      <c r="AA30" s="395"/>
      <c r="AB30" s="395"/>
      <c r="AC30" s="395"/>
    </row>
    <row r="31" spans="1:29" x14ac:dyDescent="0.2">
      <c r="A31" s="395"/>
      <c r="B31" s="395"/>
      <c r="C31" s="395"/>
      <c r="D31" s="395"/>
      <c r="E31" s="395"/>
      <c r="F31" s="395"/>
      <c r="G31" s="395"/>
      <c r="H31" s="395"/>
      <c r="I31" s="395"/>
      <c r="J31" s="395"/>
      <c r="K31" s="395"/>
      <c r="L31" s="395"/>
      <c r="M31" s="395"/>
      <c r="N31" s="395"/>
      <c r="O31" s="395"/>
      <c r="P31" s="395"/>
      <c r="Q31" s="395"/>
      <c r="R31" s="395"/>
      <c r="S31" s="395"/>
      <c r="T31" s="395"/>
      <c r="U31" s="395"/>
      <c r="V31" s="395"/>
      <c r="W31" s="395"/>
      <c r="X31" s="395"/>
      <c r="Y31" s="395"/>
      <c r="Z31" s="395"/>
      <c r="AA31" s="395"/>
      <c r="AB31" s="395"/>
      <c r="AC31" s="395"/>
    </row>
    <row r="32" spans="1:29" x14ac:dyDescent="0.2">
      <c r="A32" s="395"/>
      <c r="B32" s="395"/>
      <c r="C32" s="395"/>
      <c r="D32" s="395"/>
      <c r="E32" s="395"/>
      <c r="F32" s="395"/>
      <c r="G32" s="395"/>
      <c r="H32" s="395"/>
      <c r="I32" s="395"/>
      <c r="J32" s="395"/>
      <c r="K32" s="395"/>
      <c r="L32" s="395"/>
      <c r="M32" s="395"/>
      <c r="N32" s="395"/>
      <c r="O32" s="395"/>
      <c r="P32" s="395"/>
      <c r="Q32" s="395"/>
      <c r="R32" s="395"/>
      <c r="S32" s="395"/>
      <c r="T32" s="395"/>
      <c r="U32" s="395"/>
      <c r="V32" s="395"/>
      <c r="W32" s="395"/>
      <c r="X32" s="395"/>
      <c r="Y32" s="395"/>
      <c r="Z32" s="395"/>
      <c r="AA32" s="395"/>
      <c r="AB32" s="395"/>
      <c r="AC32" s="395"/>
    </row>
    <row r="33" spans="1:29" x14ac:dyDescent="0.2">
      <c r="A33" s="395"/>
      <c r="B33" s="395"/>
      <c r="C33" s="395"/>
      <c r="D33" s="395"/>
      <c r="E33" s="395"/>
      <c r="F33" s="395"/>
      <c r="G33" s="395"/>
      <c r="H33" s="395"/>
      <c r="I33" s="395"/>
      <c r="J33" s="395"/>
      <c r="K33" s="395"/>
      <c r="L33" s="395"/>
      <c r="M33" s="395"/>
      <c r="N33" s="395"/>
      <c r="O33" s="395"/>
      <c r="P33" s="395"/>
      <c r="Q33" s="395"/>
      <c r="R33" s="395"/>
      <c r="S33" s="395"/>
      <c r="T33" s="395"/>
      <c r="U33" s="395"/>
      <c r="V33" s="395"/>
      <c r="W33" s="395"/>
      <c r="X33" s="395"/>
      <c r="Y33" s="395"/>
      <c r="Z33" s="395"/>
      <c r="AA33" s="395"/>
      <c r="AB33" s="395"/>
      <c r="AC33" s="395"/>
    </row>
    <row r="34" spans="1:29" ht="13.5" thickBot="1" x14ac:dyDescent="0.25">
      <c r="A34" s="395"/>
      <c r="B34" s="395"/>
      <c r="C34" s="395"/>
      <c r="D34" s="395"/>
      <c r="E34" s="395"/>
      <c r="F34" s="395"/>
      <c r="G34" s="395" t="s">
        <v>409</v>
      </c>
      <c r="H34" s="395"/>
      <c r="I34" s="395"/>
      <c r="J34" s="395"/>
      <c r="K34" s="395"/>
      <c r="L34" s="395"/>
      <c r="M34" s="395"/>
      <c r="N34" s="395"/>
      <c r="O34" s="395"/>
      <c r="P34" s="395"/>
      <c r="Q34" s="395"/>
      <c r="R34" s="395"/>
      <c r="S34" s="395" t="s">
        <v>405</v>
      </c>
      <c r="T34" s="395"/>
      <c r="U34" s="395"/>
      <c r="V34" s="395"/>
      <c r="W34" s="395"/>
      <c r="X34" s="395"/>
      <c r="Y34" s="395" t="s">
        <v>693</v>
      </c>
      <c r="Z34" s="395"/>
      <c r="AA34" s="395"/>
      <c r="AB34" s="395"/>
      <c r="AC34" s="395"/>
    </row>
    <row r="35" spans="1:29" ht="39" customHeight="1" x14ac:dyDescent="0.2">
      <c r="A35" s="395"/>
      <c r="B35" s="395"/>
      <c r="C35" s="395"/>
      <c r="D35" s="395"/>
      <c r="E35" s="395"/>
      <c r="F35" s="450">
        <v>2019</v>
      </c>
      <c r="G35" s="188" t="s">
        <v>710</v>
      </c>
      <c r="H35" s="189">
        <f>H$27*'GHG Coefficient Lookup'!$AE$9/1000</f>
        <v>3.6857432073813756</v>
      </c>
      <c r="I35" s="189">
        <f>I$27*'GHG Coefficient Lookup'!$AE$9/1000</f>
        <v>2.154174496021048</v>
      </c>
      <c r="J35" s="189">
        <f>J$27*'GHG Coefficient Lookup'!$AE$9/1000</f>
        <v>0</v>
      </c>
      <c r="K35" s="189">
        <f>K$27*'GHG Coefficient Lookup'!$AE$9/1000</f>
        <v>0</v>
      </c>
      <c r="L35" s="451"/>
      <c r="M35" s="188" t="s">
        <v>710</v>
      </c>
      <c r="N35" s="189">
        <f>N$27*'GHG Coefficient Lookup'!$AE$9/1000</f>
        <v>2.0183615663557348</v>
      </c>
      <c r="O35" s="189" t="e">
        <f>O$27*'GHG Coefficient Lookup'!$AE$9/1000</f>
        <v>#REF!</v>
      </c>
      <c r="P35" s="189">
        <f>P$27*'GHG Coefficient Lookup'!$AE$9/1000</f>
        <v>0</v>
      </c>
      <c r="Q35" s="189">
        <f>Q$27*'GHG Coefficient Lookup'!$AE$9/1000</f>
        <v>0</v>
      </c>
      <c r="R35" s="451"/>
      <c r="S35" s="188" t="s">
        <v>710</v>
      </c>
      <c r="T35" s="189">
        <f>T$27*'GHG Coefficient Lookup'!$AE$9/1000</f>
        <v>2.0183615663557348</v>
      </c>
      <c r="U35" s="189" t="e">
        <f>U$27*'GHG Coefficient Lookup'!$AE$9/1000</f>
        <v>#REF!</v>
      </c>
      <c r="V35" s="189">
        <f>V$27*'GHG Coefficient Lookup'!$AE$9/1000</f>
        <v>0</v>
      </c>
      <c r="W35" s="189">
        <f>W$27*'GHG Coefficient Lookup'!$AE$9/1000</f>
        <v>0</v>
      </c>
      <c r="X35" s="451"/>
      <c r="Y35" s="188" t="s">
        <v>710</v>
      </c>
      <c r="Z35" s="189">
        <f>Z$27*'GHG Coefficient Lookup'!$AE$9/1000</f>
        <v>2.0183615663557348</v>
      </c>
      <c r="AA35" s="189" t="e">
        <f>AA$27*'GHG Coefficient Lookup'!$AE$9/1000</f>
        <v>#REF!</v>
      </c>
      <c r="AB35" s="189">
        <f>AB$27*'GHG Coefficient Lookup'!$AE$9/1000</f>
        <v>0</v>
      </c>
      <c r="AC35" s="190">
        <f>AC$27*'GHG Coefficient Lookup'!$AE$9/1000</f>
        <v>0</v>
      </c>
    </row>
    <row r="36" spans="1:29" x14ac:dyDescent="0.2">
      <c r="A36" s="395"/>
      <c r="B36" s="395"/>
      <c r="C36" s="395"/>
      <c r="D36" s="395"/>
      <c r="E36" s="395"/>
      <c r="F36" s="429"/>
      <c r="G36" s="8" t="s">
        <v>711</v>
      </c>
      <c r="H36" s="187">
        <f>VLOOKUP(H$19,'GHG Coefficient Lookup'!$AD$3:$AL$6,8,FALSE)*H$28</f>
        <v>1.6313692307692307</v>
      </c>
      <c r="I36" s="187">
        <f>VLOOKUP(I$19,'GHG Coefficient Lookup'!$AD$3:$AL$6,8,FALSE)*I$28</f>
        <v>1.2933933333333334</v>
      </c>
      <c r="J36" s="187">
        <f>VLOOKUP(J$19,'GHG Coefficient Lookup'!$AD$3:$AL$6,8,FALSE)*J$28</f>
        <v>2.371824415747021</v>
      </c>
      <c r="K36" s="187" t="e">
        <f>VLOOKUP(K$19,'GHG Coefficient Lookup'!$AD$3:$AL$6,8,FALSE)*K$28</f>
        <v>#REF!</v>
      </c>
      <c r="L36" s="452"/>
      <c r="M36" s="8" t="s">
        <v>711</v>
      </c>
      <c r="N36" s="187">
        <f>VLOOKUP(N$19,'GHG Coefficient Lookup'!$AD$3:$AL$6,8,FALSE)*N$28</f>
        <v>4.0433723980285982E-2</v>
      </c>
      <c r="O36" s="187">
        <f>VLOOKUP(O$19,'GHG Coefficient Lookup'!$AD$3:$AL$6,8,FALSE)*O$28</f>
        <v>4.5874306173633361E-2</v>
      </c>
      <c r="P36" s="187" t="e">
        <f>VLOOKUP(P$19,'GHG Coefficient Lookup'!$AD$3:$AL$6,8,FALSE)*P$28</f>
        <v>#REF!</v>
      </c>
      <c r="Q36" s="187" t="e">
        <f>VLOOKUP(Q$19,'GHG Coefficient Lookup'!$AD$3:$AL$6,8,FALSE)*Q$28</f>
        <v>#REF!</v>
      </c>
      <c r="R36" s="452"/>
      <c r="S36" s="8" t="s">
        <v>711</v>
      </c>
      <c r="T36" s="187">
        <f>VLOOKUP(T$19,'GHG Coefficient Lookup'!$AD$3:$AL$6,8,FALSE)*T$28</f>
        <v>4.2149165410595657</v>
      </c>
      <c r="U36" s="187">
        <f>VLOOKUP(U$19,'GHG Coefficient Lookup'!$AD$3:$AL$6,8,FALSE)*U$28</f>
        <v>5.134321820899781</v>
      </c>
      <c r="V36" s="187" t="e">
        <f>VLOOKUP(V$19,'GHG Coefficient Lookup'!$AD$3:$AL$6,8,FALSE)*V$28</f>
        <v>#REF!</v>
      </c>
      <c r="W36" s="187" t="e">
        <f>VLOOKUP(W$19,'GHG Coefficient Lookup'!$AD$3:$AL$6,8,FALSE)*W$28</f>
        <v>#REF!</v>
      </c>
      <c r="X36" s="452"/>
      <c r="Y36" s="8" t="s">
        <v>711</v>
      </c>
      <c r="Z36" s="187" t="e">
        <f>VLOOKUP(Z$19,'GHG Coefficient Lookup'!$AD$3:$AL$6,8,FALSE)*Z$28</f>
        <v>#N/A</v>
      </c>
      <c r="AA36" s="187" t="e">
        <f>VLOOKUP(AA$19,'GHG Coefficient Lookup'!$AD$3:$AL$6,8,FALSE)*AA$28</f>
        <v>#N/A</v>
      </c>
      <c r="AB36" s="187" t="e">
        <f>VLOOKUP(AB$19,'GHG Coefficient Lookup'!$AD$3:$AL$6,8,FALSE)*AB$28</f>
        <v>#N/A</v>
      </c>
      <c r="AC36" s="187" t="e">
        <f>VLOOKUP(AC$19,'GHG Coefficient Lookup'!$AD$3:$AL$6,8,FALSE)*AC$28</f>
        <v>#N/A</v>
      </c>
    </row>
    <row r="37" spans="1:29" ht="13.5" thickBot="1" x14ac:dyDescent="0.25">
      <c r="A37" s="395"/>
      <c r="B37" s="395"/>
      <c r="C37" s="395"/>
      <c r="D37" s="395"/>
      <c r="E37" s="395"/>
      <c r="F37" s="432"/>
      <c r="G37" s="453" t="s">
        <v>712</v>
      </c>
      <c r="H37" s="454">
        <f>H36+H35</f>
        <v>5.3171124381506063</v>
      </c>
      <c r="I37" s="454">
        <f>I36+I35</f>
        <v>3.4475678293543814</v>
      </c>
      <c r="J37" s="454">
        <f>J36+J35</f>
        <v>2.371824415747021</v>
      </c>
      <c r="K37" s="454" t="e">
        <f>K36+K35</f>
        <v>#REF!</v>
      </c>
      <c r="L37" s="455"/>
      <c r="M37" s="453" t="s">
        <v>712</v>
      </c>
      <c r="N37" s="454">
        <f>N36+N35</f>
        <v>2.0587952903360209</v>
      </c>
      <c r="O37" s="454" t="e">
        <f>O36+O35</f>
        <v>#REF!</v>
      </c>
      <c r="P37" s="454" t="e">
        <f>P36+P35</f>
        <v>#REF!</v>
      </c>
      <c r="Q37" s="454" t="e">
        <f>Q36+Q35</f>
        <v>#REF!</v>
      </c>
      <c r="R37" s="455"/>
      <c r="S37" s="453" t="s">
        <v>712</v>
      </c>
      <c r="T37" s="454">
        <f>T36+T35</f>
        <v>6.2332781074153001</v>
      </c>
      <c r="U37" s="454" t="e">
        <f>U36+U35</f>
        <v>#REF!</v>
      </c>
      <c r="V37" s="454" t="e">
        <f>V36+V35</f>
        <v>#REF!</v>
      </c>
      <c r="W37" s="454" t="e">
        <f>W36+W35</f>
        <v>#REF!</v>
      </c>
      <c r="X37" s="455"/>
      <c r="Y37" s="453" t="s">
        <v>712</v>
      </c>
      <c r="Z37" s="454" t="e">
        <f>Z36+Z35</f>
        <v>#N/A</v>
      </c>
      <c r="AA37" s="454" t="e">
        <f>AA36+AA35</f>
        <v>#N/A</v>
      </c>
      <c r="AB37" s="454" t="e">
        <f>AB36+AB35</f>
        <v>#N/A</v>
      </c>
      <c r="AC37" s="456" t="e">
        <f>AC36+AC35</f>
        <v>#N/A</v>
      </c>
    </row>
    <row r="38" spans="1:29" x14ac:dyDescent="0.2">
      <c r="A38" s="395"/>
      <c r="B38" s="395"/>
      <c r="C38" s="395"/>
      <c r="D38" s="395"/>
      <c r="E38" s="395"/>
      <c r="F38" s="457">
        <v>2050</v>
      </c>
      <c r="G38" s="188" t="s">
        <v>710</v>
      </c>
      <c r="H38" s="189">
        <f>H$27*'GHG Coefficient Lookup'!$AE$9/1000</f>
        <v>3.6857432073813756</v>
      </c>
      <c r="I38" s="189">
        <f>I$27*'GHG Coefficient Lookup'!$AE$9/1000</f>
        <v>2.154174496021048</v>
      </c>
      <c r="J38" s="189">
        <f>J$27*'GHG Coefficient Lookup'!$AE$9/1000</f>
        <v>0</v>
      </c>
      <c r="K38" s="189">
        <f>K$27*'GHG Coefficient Lookup'!$AE$9/1000</f>
        <v>0</v>
      </c>
      <c r="L38" s="451"/>
      <c r="M38" s="188" t="s">
        <v>710</v>
      </c>
      <c r="N38" s="189">
        <f>N$27*'GHG Coefficient Lookup'!$AE$9/1000</f>
        <v>2.0183615663557348</v>
      </c>
      <c r="O38" s="189" t="e">
        <f>O$27*'GHG Coefficient Lookup'!$AE$9/1000</f>
        <v>#REF!</v>
      </c>
      <c r="P38" s="189">
        <f>P$27*'GHG Coefficient Lookup'!$AE$9/1000</f>
        <v>0</v>
      </c>
      <c r="Q38" s="189">
        <f>Q$27*'GHG Coefficient Lookup'!$AE$9/1000</f>
        <v>0</v>
      </c>
      <c r="R38" s="451"/>
      <c r="S38" s="188" t="s">
        <v>710</v>
      </c>
      <c r="T38" s="189">
        <f>T$27*'GHG Coefficient Lookup'!$AE$9/1000</f>
        <v>2.0183615663557348</v>
      </c>
      <c r="U38" s="189" t="e">
        <f>U$27*'GHG Coefficient Lookup'!$AE$9/1000</f>
        <v>#REF!</v>
      </c>
      <c r="V38" s="189">
        <f>V$27*'GHG Coefficient Lookup'!$AE$9/1000</f>
        <v>0</v>
      </c>
      <c r="W38" s="189">
        <f>W$27*'GHG Coefficient Lookup'!$AE$9/1000</f>
        <v>0</v>
      </c>
      <c r="X38" s="451"/>
      <c r="Y38" s="188" t="s">
        <v>710</v>
      </c>
      <c r="Z38" s="189">
        <f>Z$27*'GHG Coefficient Lookup'!$AE$9/1000</f>
        <v>2.0183615663557348</v>
      </c>
      <c r="AA38" s="189" t="e">
        <f>AA$27*'GHG Coefficient Lookup'!$AE$9/1000</f>
        <v>#REF!</v>
      </c>
      <c r="AB38" s="189">
        <f>AB$27*'GHG Coefficient Lookup'!$AE$9/1000</f>
        <v>0</v>
      </c>
      <c r="AC38" s="190">
        <f>AC$27*'GHG Coefficient Lookup'!$AE$9/1000</f>
        <v>0</v>
      </c>
    </row>
    <row r="39" spans="1:29" x14ac:dyDescent="0.2">
      <c r="A39" s="395"/>
      <c r="B39" s="395"/>
      <c r="C39" s="395"/>
      <c r="D39" s="395"/>
      <c r="E39" s="395"/>
      <c r="F39" s="458" t="s">
        <v>713</v>
      </c>
      <c r="G39" s="8" t="s">
        <v>711</v>
      </c>
      <c r="H39" s="187">
        <f>VLOOKUP(H$19,'GHG Coefficient Lookup'!$AD$3:$AL$6,9,FALSE)*H$28</f>
        <v>5.7861695777942583E-2</v>
      </c>
      <c r="I39" s="187">
        <f>VLOOKUP(I$19,'GHG Coefficient Lookup'!$AD$3:$AL$6,9,FALSE)*I$28</f>
        <v>4.5874306173633361E-2</v>
      </c>
      <c r="J39" s="187">
        <f>VLOOKUP(J$19,'GHG Coefficient Lookup'!$AD$3:$AL$6,9,FALSE)*J$28</f>
        <v>8.4124292768436956E-2</v>
      </c>
      <c r="K39" s="187" t="e">
        <f>VLOOKUP(K$19,'GHG Coefficient Lookup'!$AD$3:$AL$6,9,FALSE)*K$28</f>
        <v>#REF!</v>
      </c>
      <c r="L39" s="452"/>
      <c r="M39" s="8" t="s">
        <v>711</v>
      </c>
      <c r="N39" s="187">
        <f>VLOOKUP(N$19,'GHG Coefficient Lookup'!$AD$3:$AL$6,9,FALSE)*N$28</f>
        <v>4.0433723980285982E-2</v>
      </c>
      <c r="O39" s="187">
        <f>VLOOKUP(O$19,'GHG Coefficient Lookup'!$AD$3:$AL$6,9,FALSE)*O$28</f>
        <v>4.5874306173633361E-2</v>
      </c>
      <c r="P39" s="187" t="e">
        <f>VLOOKUP(P$19,'GHG Coefficient Lookup'!$AD$3:$AL$6,9,FALSE)*P$28</f>
        <v>#REF!</v>
      </c>
      <c r="Q39" s="187" t="e">
        <f>VLOOKUP(Q$19,'GHG Coefficient Lookup'!$AD$3:$AL$6,9,FALSE)*Q$28</f>
        <v>#REF!</v>
      </c>
      <c r="R39" s="452"/>
      <c r="S39" s="8" t="s">
        <v>711</v>
      </c>
      <c r="T39" s="187">
        <f>VLOOKUP(T$19,'GHG Coefficient Lookup'!$AD$3:$AL$6,9,FALSE)*T$28</f>
        <v>5.9302795171086109E-2</v>
      </c>
      <c r="U39" s="187">
        <f>VLOOKUP(U$19,'GHG Coefficient Lookup'!$AD$3:$AL$6,9,FALSE)*U$28</f>
        <v>7.2238591754112416E-2</v>
      </c>
      <c r="V39" s="187" t="e">
        <f>VLOOKUP(V$19,'GHG Coefficient Lookup'!$AD$3:$AL$6,9,FALSE)*V$28</f>
        <v>#REF!</v>
      </c>
      <c r="W39" s="187" t="e">
        <f>VLOOKUP(W$19,'GHG Coefficient Lookup'!$AD$3:$AL$6,9,FALSE)*W$28</f>
        <v>#REF!</v>
      </c>
      <c r="X39" s="452"/>
      <c r="Y39" s="8" t="s">
        <v>711</v>
      </c>
      <c r="Z39" s="187" t="e">
        <f>VLOOKUP(Z$19,'GHG Coefficient Lookup'!$AD$3:$AL$6,9,FALSE)*Z$28</f>
        <v>#N/A</v>
      </c>
      <c r="AA39" s="187" t="e">
        <f>VLOOKUP(AA$19,'GHG Coefficient Lookup'!$AD$3:$AL$6,9,FALSE)*AA$28</f>
        <v>#N/A</v>
      </c>
      <c r="AB39" s="187" t="e">
        <f>VLOOKUP(AB$19,'GHG Coefficient Lookup'!$AD$3:$AL$6,9,FALSE)*AB$28</f>
        <v>#N/A</v>
      </c>
      <c r="AC39" s="187" t="e">
        <f>VLOOKUP(AC$19,'GHG Coefficient Lookup'!$AD$3:$AL$6,9,FALSE)*AC$28</f>
        <v>#N/A</v>
      </c>
    </row>
    <row r="40" spans="1:29" ht="13.5" thickBot="1" x14ac:dyDescent="0.25">
      <c r="A40" s="395"/>
      <c r="B40" s="395"/>
      <c r="C40" s="395"/>
      <c r="D40" s="395"/>
      <c r="E40" s="395"/>
      <c r="F40" s="432"/>
      <c r="G40" s="453" t="s">
        <v>712</v>
      </c>
      <c r="H40" s="454">
        <f>H39+H38</f>
        <v>3.7436049031593184</v>
      </c>
      <c r="I40" s="454">
        <f>I39+I38</f>
        <v>2.2000488021946816</v>
      </c>
      <c r="J40" s="454">
        <f>J39+J38</f>
        <v>8.4124292768436956E-2</v>
      </c>
      <c r="K40" s="454" t="e">
        <f>K39+K38</f>
        <v>#REF!</v>
      </c>
      <c r="L40" s="455"/>
      <c r="M40" s="453" t="s">
        <v>712</v>
      </c>
      <c r="N40" s="454">
        <f>N39+N38</f>
        <v>2.0587952903360209</v>
      </c>
      <c r="O40" s="454" t="e">
        <f>O39+O38</f>
        <v>#REF!</v>
      </c>
      <c r="P40" s="454" t="e">
        <f>P39+P38</f>
        <v>#REF!</v>
      </c>
      <c r="Q40" s="454" t="e">
        <f>Q39+Q38</f>
        <v>#REF!</v>
      </c>
      <c r="R40" s="455"/>
      <c r="S40" s="453" t="s">
        <v>712</v>
      </c>
      <c r="T40" s="454">
        <f>T39+T38</f>
        <v>2.0776643615268209</v>
      </c>
      <c r="U40" s="454" t="e">
        <f>U39+U38</f>
        <v>#REF!</v>
      </c>
      <c r="V40" s="454" t="e">
        <f>V39+V38</f>
        <v>#REF!</v>
      </c>
      <c r="W40" s="454" t="e">
        <f>W39+W38</f>
        <v>#REF!</v>
      </c>
      <c r="X40" s="455"/>
      <c r="Y40" s="453" t="s">
        <v>712</v>
      </c>
      <c r="Z40" s="454" t="e">
        <f>Z39+Z38</f>
        <v>#N/A</v>
      </c>
      <c r="AA40" s="454" t="e">
        <f>AA39+AA38</f>
        <v>#N/A</v>
      </c>
      <c r="AB40" s="454" t="e">
        <f>AB39+AB38</f>
        <v>#N/A</v>
      </c>
      <c r="AC40" s="456" t="e">
        <f>AC39+AC38</f>
        <v>#N/A</v>
      </c>
    </row>
    <row r="41" spans="1:29" x14ac:dyDescent="0.2">
      <c r="A41" s="395"/>
      <c r="B41" s="395"/>
      <c r="C41" s="395"/>
      <c r="D41" s="395"/>
      <c r="E41" s="395"/>
      <c r="F41" s="395"/>
      <c r="G41" s="395"/>
      <c r="H41" s="395"/>
      <c r="I41" s="395"/>
      <c r="J41" s="395"/>
      <c r="K41" s="395"/>
      <c r="L41" s="395"/>
      <c r="M41" s="395"/>
      <c r="N41" s="395"/>
      <c r="O41" s="395"/>
      <c r="P41" s="395"/>
      <c r="Q41" s="395"/>
      <c r="R41" s="395"/>
      <c r="S41" s="395"/>
      <c r="T41" s="395"/>
      <c r="U41" s="395"/>
      <c r="V41" s="395"/>
      <c r="W41" s="395"/>
      <c r="X41" s="395"/>
      <c r="Y41" s="395"/>
      <c r="Z41" s="395"/>
      <c r="AA41" s="395"/>
      <c r="AB41" s="395"/>
      <c r="AC41" s="395"/>
    </row>
    <row r="42" spans="1:29" x14ac:dyDescent="0.2">
      <c r="A42" s="395"/>
      <c r="B42" s="395"/>
      <c r="C42" s="395"/>
      <c r="D42" s="395"/>
      <c r="E42" s="395"/>
      <c r="F42" s="395"/>
      <c r="G42" s="395" t="s">
        <v>752</v>
      </c>
      <c r="H42" s="395"/>
      <c r="I42" s="395"/>
      <c r="J42" s="395"/>
      <c r="K42" s="395"/>
      <c r="L42" s="395"/>
      <c r="M42" s="395"/>
      <c r="N42" s="395"/>
      <c r="O42" s="395"/>
      <c r="P42" s="395"/>
      <c r="Q42" s="395"/>
      <c r="R42" s="395"/>
      <c r="S42" s="395"/>
      <c r="T42" s="395"/>
      <c r="U42" s="395"/>
      <c r="V42" s="395"/>
      <c r="W42" s="395"/>
      <c r="X42" s="395"/>
      <c r="Y42" s="395"/>
      <c r="Z42" s="395"/>
      <c r="AA42" s="395"/>
      <c r="AB42" s="395"/>
      <c r="AC42" s="395"/>
    </row>
    <row r="43" spans="1:29" x14ac:dyDescent="0.2">
      <c r="A43" s="395"/>
      <c r="B43" s="395"/>
      <c r="C43" s="395"/>
      <c r="D43" s="395" t="s">
        <v>753</v>
      </c>
      <c r="E43" s="395">
        <v>3</v>
      </c>
      <c r="F43" s="395"/>
      <c r="G43" s="395"/>
      <c r="H43" s="395"/>
      <c r="I43" s="395"/>
      <c r="J43" s="395"/>
      <c r="K43" s="395"/>
      <c r="L43" s="395"/>
      <c r="M43" s="395"/>
      <c r="N43" s="395"/>
      <c r="O43" s="395"/>
      <c r="P43" s="395"/>
      <c r="Q43" s="395"/>
      <c r="R43" s="395"/>
      <c r="S43" s="395"/>
      <c r="T43" s="395"/>
      <c r="U43" s="395"/>
      <c r="V43" s="395"/>
      <c r="W43" s="395"/>
      <c r="X43" s="395"/>
      <c r="Y43" s="395"/>
      <c r="Z43" s="395"/>
      <c r="AA43" s="395"/>
      <c r="AB43" s="395"/>
      <c r="AC43" s="395"/>
    </row>
    <row r="44" spans="1:29" x14ac:dyDescent="0.2">
      <c r="A44" s="395"/>
      <c r="B44" s="395"/>
      <c r="C44" s="395"/>
      <c r="D44" s="395" t="s">
        <v>754</v>
      </c>
      <c r="E44" s="395">
        <v>3</v>
      </c>
      <c r="F44" s="395"/>
      <c r="G44" s="395"/>
      <c r="H44" s="395"/>
      <c r="I44" s="395"/>
      <c r="J44" s="395"/>
      <c r="K44" s="395"/>
      <c r="L44" s="395"/>
      <c r="M44" s="395"/>
      <c r="N44" s="395"/>
      <c r="O44" s="395"/>
      <c r="P44" s="395"/>
      <c r="Q44" s="395"/>
      <c r="R44" s="395"/>
      <c r="S44" s="395"/>
      <c r="T44" s="395"/>
      <c r="U44" s="395"/>
      <c r="V44" s="395"/>
      <c r="W44" s="395"/>
      <c r="X44" s="395"/>
      <c r="Y44" s="395"/>
      <c r="Z44" s="395"/>
      <c r="AA44" s="395"/>
      <c r="AB44" s="395"/>
      <c r="AC44" s="395"/>
    </row>
    <row r="50" spans="1:23" x14ac:dyDescent="0.2">
      <c r="A50" s="395"/>
      <c r="B50" s="395"/>
      <c r="C50" s="395"/>
      <c r="D50" s="395"/>
      <c r="E50" s="395"/>
      <c r="F50" s="395"/>
      <c r="G50" s="395"/>
      <c r="H50" s="395"/>
      <c r="I50" s="395"/>
      <c r="J50" s="395"/>
      <c r="K50" s="395"/>
      <c r="L50" s="395"/>
      <c r="M50" s="395"/>
      <c r="N50" s="395"/>
      <c r="O50" s="395"/>
      <c r="P50" s="395"/>
      <c r="Q50" s="395"/>
      <c r="R50" s="395"/>
      <c r="S50" s="395"/>
      <c r="T50" s="395"/>
      <c r="U50" s="395"/>
      <c r="V50" s="395"/>
      <c r="W50" s="395"/>
    </row>
    <row r="51" spans="1:23" ht="15" x14ac:dyDescent="0.25">
      <c r="A51" s="395"/>
      <c r="B51" s="395"/>
      <c r="C51" s="395"/>
      <c r="D51" s="395"/>
      <c r="E51" s="395"/>
      <c r="F51" s="395"/>
      <c r="G51" s="395"/>
      <c r="H51" s="263"/>
      <c r="I51" s="263"/>
      <c r="J51" s="263"/>
      <c r="K51" s="263"/>
      <c r="L51" s="263"/>
      <c r="M51" s="263"/>
      <c r="N51" s="263"/>
      <c r="O51" s="263"/>
      <c r="P51" s="395"/>
      <c r="Q51" s="395"/>
      <c r="R51" s="395"/>
      <c r="S51" s="395"/>
      <c r="T51" s="395"/>
      <c r="U51" s="395"/>
      <c r="V51" s="395"/>
      <c r="W51" s="395"/>
    </row>
    <row r="52" spans="1:23" ht="15.75" x14ac:dyDescent="0.25">
      <c r="A52" s="395"/>
      <c r="B52" s="395"/>
      <c r="C52" s="395"/>
      <c r="D52" s="395"/>
      <c r="E52" s="395"/>
      <c r="F52" s="395"/>
      <c r="G52" s="395"/>
      <c r="H52" s="263"/>
      <c r="I52" s="19" t="s">
        <v>755</v>
      </c>
      <c r="J52" s="19"/>
      <c r="K52" s="19"/>
      <c r="L52" s="19"/>
      <c r="M52" s="19"/>
      <c r="N52" s="19"/>
      <c r="O52" s="19"/>
      <c r="P52" s="395"/>
      <c r="Q52" s="263" t="s">
        <v>756</v>
      </c>
      <c r="R52" s="263" t="s" vm="1">
        <v>757</v>
      </c>
      <c r="S52" s="263"/>
      <c r="T52" s="263"/>
      <c r="U52" s="263"/>
      <c r="V52" s="263"/>
      <c r="W52" s="263"/>
    </row>
    <row r="53" spans="1:23" ht="15.75" x14ac:dyDescent="0.25">
      <c r="A53" s="395"/>
      <c r="B53" s="395"/>
      <c r="C53" s="394"/>
      <c r="D53" s="395"/>
      <c r="E53" s="395"/>
      <c r="F53" s="395"/>
      <c r="G53" s="395"/>
      <c r="H53" s="263"/>
      <c r="I53" s="19"/>
      <c r="J53" s="19" t="s">
        <v>758</v>
      </c>
      <c r="K53" s="19"/>
      <c r="L53" s="19"/>
      <c r="M53" s="19" t="s">
        <v>759</v>
      </c>
      <c r="N53" s="19"/>
      <c r="O53" s="19"/>
      <c r="P53" s="395"/>
      <c r="Q53" s="263" t="s">
        <v>760</v>
      </c>
      <c r="R53" s="263" t="s" vm="2">
        <v>529</v>
      </c>
      <c r="S53" s="263"/>
      <c r="T53" s="263"/>
      <c r="U53" s="263"/>
      <c r="V53" s="263"/>
      <c r="W53" s="263"/>
    </row>
    <row r="54" spans="1:23" ht="15.75" x14ac:dyDescent="0.25">
      <c r="A54" s="395"/>
      <c r="B54" s="395"/>
      <c r="C54" s="394"/>
      <c r="D54" s="395"/>
      <c r="E54" s="395"/>
      <c r="F54" s="395"/>
      <c r="G54" s="395"/>
      <c r="H54" s="263"/>
      <c r="I54" s="20" t="s">
        <v>761</v>
      </c>
      <c r="J54" s="20" t="s">
        <v>405</v>
      </c>
      <c r="K54" s="20" t="s">
        <v>409</v>
      </c>
      <c r="L54" s="20" t="s">
        <v>418</v>
      </c>
      <c r="M54" s="20" t="s">
        <v>405</v>
      </c>
      <c r="N54" s="20" t="s">
        <v>409</v>
      </c>
      <c r="O54" s="20" t="s">
        <v>418</v>
      </c>
      <c r="P54" s="395"/>
      <c r="Q54" s="263"/>
      <c r="R54" s="263"/>
      <c r="S54" s="263"/>
      <c r="T54" s="263"/>
      <c r="U54" s="263"/>
      <c r="V54" s="263"/>
      <c r="W54" s="263"/>
    </row>
    <row r="55" spans="1:23" ht="15" x14ac:dyDescent="0.25">
      <c r="A55" s="395"/>
      <c r="B55" s="395"/>
      <c r="C55" s="395"/>
      <c r="D55" s="395"/>
      <c r="E55" s="395"/>
      <c r="F55" s="395"/>
      <c r="G55" s="395"/>
      <c r="H55" s="263"/>
      <c r="I55" s="21">
        <v>1910</v>
      </c>
      <c r="J55" s="264">
        <v>3</v>
      </c>
      <c r="K55" s="264">
        <v>33</v>
      </c>
      <c r="L55" s="264">
        <v>7</v>
      </c>
      <c r="M55" s="264">
        <v>107.83333333333333</v>
      </c>
      <c r="N55" s="264">
        <v>116.94242424242424</v>
      </c>
      <c r="O55" s="264">
        <v>64.11428560529437</v>
      </c>
      <c r="P55" s="395"/>
      <c r="Q55" s="263"/>
      <c r="R55" s="263" t="s">
        <v>762</v>
      </c>
      <c r="S55" s="263"/>
      <c r="T55" s="263"/>
      <c r="U55" s="263"/>
      <c r="V55" s="263"/>
      <c r="W55" s="263"/>
    </row>
    <row r="56" spans="1:23" ht="15" x14ac:dyDescent="0.25">
      <c r="A56" s="395"/>
      <c r="B56" s="395"/>
      <c r="C56" s="395"/>
      <c r="D56" s="395"/>
      <c r="E56" s="395"/>
      <c r="F56" s="395"/>
      <c r="G56" s="395"/>
      <c r="H56" s="263"/>
      <c r="I56" s="21">
        <v>1920</v>
      </c>
      <c r="J56" s="264">
        <v>11</v>
      </c>
      <c r="K56" s="264">
        <v>74</v>
      </c>
      <c r="L56" s="264">
        <v>18</v>
      </c>
      <c r="M56" s="264">
        <v>109.13636363636364</v>
      </c>
      <c r="N56" s="264">
        <v>102.37162162162161</v>
      </c>
      <c r="O56" s="264">
        <v>86.51666588253444</v>
      </c>
      <c r="P56" s="395"/>
      <c r="Q56" s="263"/>
      <c r="R56" s="263" t="s">
        <v>763</v>
      </c>
      <c r="S56" s="263"/>
      <c r="T56" s="263"/>
      <c r="U56" s="263" t="s">
        <v>764</v>
      </c>
      <c r="V56" s="263"/>
      <c r="W56" s="263"/>
    </row>
    <row r="57" spans="1:23" ht="15" x14ac:dyDescent="0.25">
      <c r="A57" s="395"/>
      <c r="B57" s="395"/>
      <c r="C57" s="395"/>
      <c r="D57" s="395"/>
      <c r="E57" s="395"/>
      <c r="F57" s="395"/>
      <c r="G57" s="395"/>
      <c r="H57" s="263"/>
      <c r="I57" s="21">
        <v>1930</v>
      </c>
      <c r="J57" s="264">
        <v>2</v>
      </c>
      <c r="K57" s="264">
        <v>26</v>
      </c>
      <c r="L57" s="264">
        <v>5</v>
      </c>
      <c r="M57" s="264">
        <v>55.4</v>
      </c>
      <c r="N57" s="264">
        <v>111.58076923076925</v>
      </c>
      <c r="O57" s="264">
        <v>77.180000305175753</v>
      </c>
      <c r="P57" s="395"/>
      <c r="Q57" s="263" t="s">
        <v>765</v>
      </c>
      <c r="R57" s="263" t="s">
        <v>405</v>
      </c>
      <c r="S57" s="263" t="s">
        <v>409</v>
      </c>
      <c r="T57" s="263" t="s">
        <v>418</v>
      </c>
      <c r="U57" s="263" t="s">
        <v>405</v>
      </c>
      <c r="V57" s="263" t="s">
        <v>409</v>
      </c>
      <c r="W57" s="263" t="s">
        <v>418</v>
      </c>
    </row>
    <row r="58" spans="1:23" ht="15" x14ac:dyDescent="0.25">
      <c r="A58" s="395"/>
      <c r="B58" s="395"/>
      <c r="C58" s="395"/>
      <c r="D58" s="395"/>
      <c r="E58" s="395"/>
      <c r="F58" s="395"/>
      <c r="G58" s="395"/>
      <c r="H58" s="263"/>
      <c r="I58" s="21">
        <v>1940</v>
      </c>
      <c r="J58" s="264">
        <v>8</v>
      </c>
      <c r="K58" s="264">
        <v>5</v>
      </c>
      <c r="L58" s="264">
        <v>1</v>
      </c>
      <c r="M58" s="264">
        <v>77.337499999999991</v>
      </c>
      <c r="N58" s="264">
        <v>117.66000000000001</v>
      </c>
      <c r="O58" s="264">
        <v>69.099998474121094</v>
      </c>
      <c r="P58" s="395"/>
      <c r="Q58" s="21" t="s">
        <v>522</v>
      </c>
      <c r="R58" s="264">
        <v>11</v>
      </c>
      <c r="S58" s="264">
        <v>75</v>
      </c>
      <c r="T58" s="264">
        <v>22</v>
      </c>
      <c r="U58" s="264">
        <v>11</v>
      </c>
      <c r="V58" s="264">
        <v>75</v>
      </c>
      <c r="W58" s="264">
        <v>22</v>
      </c>
    </row>
    <row r="59" spans="1:23" ht="15" x14ac:dyDescent="0.25">
      <c r="A59" s="395"/>
      <c r="B59" s="395"/>
      <c r="C59" s="395"/>
      <c r="D59" s="395"/>
      <c r="E59" s="395"/>
      <c r="F59" s="395"/>
      <c r="G59" s="395"/>
      <c r="H59" s="263"/>
      <c r="I59" s="21">
        <v>1950</v>
      </c>
      <c r="J59" s="264">
        <v>6</v>
      </c>
      <c r="K59" s="264">
        <v>18</v>
      </c>
      <c r="L59" s="264">
        <v>8</v>
      </c>
      <c r="M59" s="264">
        <v>93.149999999999991</v>
      </c>
      <c r="N59" s="264">
        <v>120.76111111111112</v>
      </c>
      <c r="O59" s="264">
        <v>84.212499618530273</v>
      </c>
      <c r="P59" s="395"/>
      <c r="Q59" s="21" t="s">
        <v>766</v>
      </c>
      <c r="R59" s="264">
        <v>42</v>
      </c>
      <c r="S59" s="264">
        <v>306</v>
      </c>
      <c r="T59" s="264">
        <v>62</v>
      </c>
      <c r="U59" s="264">
        <v>42</v>
      </c>
      <c r="V59" s="264">
        <v>306</v>
      </c>
      <c r="W59" s="264">
        <v>62</v>
      </c>
    </row>
    <row r="60" spans="1:23" ht="15" x14ac:dyDescent="0.25">
      <c r="A60" s="395"/>
      <c r="B60" s="395"/>
      <c r="C60" s="395"/>
      <c r="D60" s="395"/>
      <c r="E60" s="395"/>
      <c r="F60" s="395"/>
      <c r="G60" s="395"/>
      <c r="H60" s="263"/>
      <c r="I60" s="21">
        <v>1960</v>
      </c>
      <c r="J60" s="264">
        <v>12</v>
      </c>
      <c r="K60" s="264">
        <v>48</v>
      </c>
      <c r="L60" s="264">
        <v>19</v>
      </c>
      <c r="M60" s="264">
        <v>76.316666666666649</v>
      </c>
      <c r="N60" s="264">
        <v>117.23124999999997</v>
      </c>
      <c r="O60" s="264">
        <v>106.59473599885638</v>
      </c>
      <c r="P60" s="395"/>
      <c r="Q60" s="21" t="s">
        <v>767</v>
      </c>
      <c r="R60" s="264">
        <v>75</v>
      </c>
      <c r="S60" s="264">
        <v>133</v>
      </c>
      <c r="T60" s="264">
        <v>70</v>
      </c>
      <c r="U60" s="264">
        <v>75</v>
      </c>
      <c r="V60" s="264">
        <v>133</v>
      </c>
      <c r="W60" s="264">
        <v>70</v>
      </c>
    </row>
    <row r="61" spans="1:23" ht="15" x14ac:dyDescent="0.25">
      <c r="A61" s="395"/>
      <c r="B61" s="395"/>
      <c r="C61" s="395"/>
      <c r="D61" s="395"/>
      <c r="E61" s="395"/>
      <c r="F61" s="395"/>
      <c r="G61" s="395"/>
      <c r="H61" s="263"/>
      <c r="I61" s="21">
        <v>1970</v>
      </c>
      <c r="J61" s="264">
        <v>5</v>
      </c>
      <c r="K61" s="264">
        <v>61</v>
      </c>
      <c r="L61" s="264">
        <v>7</v>
      </c>
      <c r="M61" s="264">
        <v>81.259999999999991</v>
      </c>
      <c r="N61" s="264">
        <v>132.51475409836067</v>
      </c>
      <c r="O61" s="264">
        <v>91.800000871930834</v>
      </c>
      <c r="P61" s="395"/>
      <c r="Q61" s="395"/>
      <c r="R61" s="395"/>
      <c r="S61" s="395"/>
      <c r="T61" s="395"/>
      <c r="U61" s="395"/>
      <c r="V61" s="395"/>
      <c r="W61" s="395"/>
    </row>
    <row r="62" spans="1:23" ht="15" x14ac:dyDescent="0.25">
      <c r="A62" s="395"/>
      <c r="B62" s="395"/>
      <c r="C62" s="395"/>
      <c r="D62" s="395"/>
      <c r="E62" s="395"/>
      <c r="F62" s="395"/>
      <c r="G62" s="395"/>
      <c r="H62" s="263"/>
      <c r="I62" s="21">
        <v>1980</v>
      </c>
      <c r="J62" s="264">
        <v>16</v>
      </c>
      <c r="K62" s="264">
        <v>43</v>
      </c>
      <c r="L62" s="264">
        <v>13</v>
      </c>
      <c r="M62" s="264">
        <v>95.443749999999994</v>
      </c>
      <c r="N62" s="264">
        <v>104.12790697674421</v>
      </c>
      <c r="O62" s="264">
        <v>87.300001437847442</v>
      </c>
      <c r="P62" s="395"/>
      <c r="Q62" s="395"/>
      <c r="R62" s="395"/>
      <c r="S62" s="395"/>
      <c r="T62" s="395"/>
      <c r="U62" s="395"/>
      <c r="V62" s="395"/>
      <c r="W62" s="395"/>
    </row>
    <row r="63" spans="1:23" ht="15" x14ac:dyDescent="0.25">
      <c r="A63" s="395"/>
      <c r="B63" s="395"/>
      <c r="C63" s="395"/>
      <c r="D63" s="395"/>
      <c r="E63" s="395"/>
      <c r="F63" s="395"/>
      <c r="G63" s="395"/>
      <c r="H63" s="263"/>
      <c r="I63" s="21">
        <v>1990</v>
      </c>
      <c r="J63" s="264">
        <v>14</v>
      </c>
      <c r="K63" s="264">
        <v>53</v>
      </c>
      <c r="L63" s="264">
        <v>23</v>
      </c>
      <c r="M63" s="264">
        <v>93.350000000000009</v>
      </c>
      <c r="N63" s="264">
        <v>125.47358490566039</v>
      </c>
      <c r="O63" s="264">
        <v>76.213042715321421</v>
      </c>
      <c r="P63" s="395"/>
      <c r="Q63" s="263" t="s">
        <v>756</v>
      </c>
      <c r="R63" s="263" t="s" vm="1">
        <v>757</v>
      </c>
      <c r="S63" s="263"/>
      <c r="T63" s="395"/>
      <c r="U63" s="395"/>
      <c r="V63" s="395"/>
      <c r="W63" s="395"/>
    </row>
    <row r="64" spans="1:23" ht="15" x14ac:dyDescent="0.25">
      <c r="A64" s="395"/>
      <c r="B64" s="395"/>
      <c r="C64" s="395"/>
      <c r="D64" s="395"/>
      <c r="E64" s="395"/>
      <c r="F64" s="395"/>
      <c r="G64" s="395"/>
      <c r="H64" s="263"/>
      <c r="I64" s="21">
        <v>2000</v>
      </c>
      <c r="J64" s="264">
        <v>27</v>
      </c>
      <c r="K64" s="264">
        <v>57</v>
      </c>
      <c r="L64" s="264">
        <v>27</v>
      </c>
      <c r="M64" s="264">
        <v>94.081481481481475</v>
      </c>
      <c r="N64" s="264">
        <v>117.82280701754384</v>
      </c>
      <c r="O64" s="264">
        <v>69.696296338681819</v>
      </c>
      <c r="P64" s="395"/>
      <c r="Q64" s="263" t="s">
        <v>760</v>
      </c>
      <c r="R64" s="263" t="s" vm="2">
        <v>529</v>
      </c>
      <c r="S64" s="263"/>
      <c r="T64" s="395"/>
      <c r="U64" s="395"/>
      <c r="V64" s="395"/>
      <c r="W64" s="395"/>
    </row>
    <row r="65" spans="6:23" ht="15" x14ac:dyDescent="0.25">
      <c r="F65" s="395"/>
      <c r="G65" s="395"/>
      <c r="H65" s="263"/>
      <c r="I65" s="21">
        <v>2010</v>
      </c>
      <c r="J65" s="264">
        <v>15</v>
      </c>
      <c r="K65" s="264">
        <v>46</v>
      </c>
      <c r="L65" s="264">
        <v>18</v>
      </c>
      <c r="M65" s="264">
        <v>61.533333333333331</v>
      </c>
      <c r="N65" s="264">
        <v>96.623913043478282</v>
      </c>
      <c r="O65" s="264">
        <v>52.294444190131287</v>
      </c>
      <c r="P65" s="395"/>
      <c r="Q65" s="395"/>
      <c r="R65" s="395"/>
      <c r="S65" s="263" t="s">
        <v>474</v>
      </c>
      <c r="T65" s="263" t="s">
        <v>768</v>
      </c>
      <c r="U65" s="395"/>
      <c r="V65" s="395"/>
      <c r="W65" s="395"/>
    </row>
    <row r="66" spans="6:23" ht="15" x14ac:dyDescent="0.25">
      <c r="F66" s="395"/>
      <c r="G66" s="395"/>
      <c r="H66" s="263"/>
      <c r="I66" s="263" t="s">
        <v>769</v>
      </c>
      <c r="J66" s="22">
        <f>SUM(J62:J65)/SUM(J55:J65)</f>
        <v>0.60504201680672265</v>
      </c>
      <c r="K66" s="22">
        <f>SUM(K62:K65)/SUM(K55:K65)</f>
        <v>0.42887931034482757</v>
      </c>
      <c r="L66" s="22">
        <f>SUM(L62:L65)/SUM(L55:L65)</f>
        <v>0.5547945205479452</v>
      </c>
      <c r="M66" s="263"/>
      <c r="N66" s="263"/>
      <c r="O66" s="263"/>
      <c r="P66" s="395"/>
      <c r="Q66" s="21" t="s">
        <v>522</v>
      </c>
      <c r="R66" s="192" t="s">
        <v>405</v>
      </c>
      <c r="S66" s="264">
        <v>42.654079797981474</v>
      </c>
      <c r="T66" s="264">
        <v>5.5231618065477868</v>
      </c>
      <c r="U66" s="395"/>
      <c r="V66" s="395"/>
      <c r="W66" s="395"/>
    </row>
    <row r="67" spans="6:23" ht="15" x14ac:dyDescent="0.25">
      <c r="F67" s="395"/>
      <c r="G67" s="395"/>
      <c r="H67" s="263"/>
      <c r="I67" s="263"/>
      <c r="J67" s="263"/>
      <c r="K67" s="263"/>
      <c r="L67" s="263"/>
      <c r="M67" s="263"/>
      <c r="N67" s="263"/>
      <c r="O67" s="263"/>
      <c r="P67" s="395"/>
      <c r="Q67" s="395"/>
      <c r="R67" s="192" t="s">
        <v>409</v>
      </c>
      <c r="S67" s="264">
        <v>49.164588583201173</v>
      </c>
      <c r="T67" s="264">
        <v>3.8361984191260481</v>
      </c>
      <c r="U67" s="395"/>
      <c r="V67" s="395"/>
      <c r="W67" s="395"/>
    </row>
    <row r="68" spans="6:23" ht="15" x14ac:dyDescent="0.25">
      <c r="F68" s="395"/>
      <c r="G68" s="395"/>
      <c r="H68" s="263"/>
      <c r="I68" s="263"/>
      <c r="J68" s="263"/>
      <c r="K68" s="263"/>
      <c r="L68" s="263"/>
      <c r="M68" s="263"/>
      <c r="N68" s="263"/>
      <c r="O68" s="263"/>
      <c r="P68" s="395"/>
      <c r="Q68" s="395"/>
      <c r="R68" s="192" t="s">
        <v>418</v>
      </c>
      <c r="S68" s="264">
        <v>41.140478331737185</v>
      </c>
      <c r="T68" s="264">
        <v>4.6189341755407636</v>
      </c>
      <c r="U68" s="395"/>
      <c r="V68" s="395"/>
      <c r="W68" s="395"/>
    </row>
    <row r="69" spans="6:23" ht="15" x14ac:dyDescent="0.25">
      <c r="F69" s="395"/>
      <c r="G69" s="395"/>
      <c r="H69" s="263"/>
      <c r="I69" s="263"/>
      <c r="J69" s="263"/>
      <c r="K69" s="263"/>
      <c r="L69" s="263"/>
      <c r="M69" s="263"/>
      <c r="N69" s="263"/>
      <c r="O69" s="263"/>
      <c r="P69" s="395"/>
      <c r="Q69" s="21" t="s">
        <v>767</v>
      </c>
      <c r="R69" s="192" t="s">
        <v>405</v>
      </c>
      <c r="S69" s="264">
        <v>57.51457420332698</v>
      </c>
      <c r="T69" s="264">
        <v>36.418352913489855</v>
      </c>
      <c r="U69" s="395"/>
      <c r="V69" s="395"/>
      <c r="W69" s="395"/>
    </row>
    <row r="70" spans="6:23" ht="15" x14ac:dyDescent="0.25">
      <c r="F70" s="395"/>
      <c r="G70" s="395"/>
      <c r="H70" s="263"/>
      <c r="I70" s="263"/>
      <c r="J70" s="263"/>
      <c r="K70" s="263"/>
      <c r="L70" s="263"/>
      <c r="M70" s="263"/>
      <c r="N70" s="263"/>
      <c r="O70" s="263"/>
      <c r="P70" s="395"/>
      <c r="Q70" s="395"/>
      <c r="R70" s="192" t="s">
        <v>409</v>
      </c>
      <c r="S70" s="264">
        <v>55.392682210105079</v>
      </c>
      <c r="T70" s="264">
        <v>36.262089544620572</v>
      </c>
      <c r="U70" s="395"/>
      <c r="V70" s="395"/>
      <c r="W70" s="395"/>
    </row>
    <row r="71" spans="6:23" ht="15" x14ac:dyDescent="0.25">
      <c r="F71" s="395"/>
      <c r="G71" s="395"/>
      <c r="H71" s="263"/>
      <c r="I71" s="263"/>
      <c r="J71" s="263"/>
      <c r="K71" s="263"/>
      <c r="L71" s="263"/>
      <c r="M71" s="263"/>
      <c r="N71" s="263"/>
      <c r="O71" s="263"/>
      <c r="P71" s="395"/>
      <c r="Q71" s="395"/>
      <c r="R71" s="192" t="s">
        <v>418</v>
      </c>
      <c r="S71" s="264">
        <v>37.11295838528703</v>
      </c>
      <c r="T71" s="264">
        <v>23.762736803076326</v>
      </c>
      <c r="U71" s="395"/>
      <c r="V71" s="395"/>
      <c r="W71" s="395"/>
    </row>
    <row r="72" spans="6:23" ht="15" x14ac:dyDescent="0.25">
      <c r="F72" s="395"/>
      <c r="G72" s="395"/>
      <c r="H72" s="263"/>
      <c r="I72" s="263"/>
      <c r="J72" s="263"/>
      <c r="K72" s="263"/>
      <c r="L72" s="263"/>
      <c r="M72" s="263"/>
      <c r="N72" s="263"/>
      <c r="O72" s="263"/>
      <c r="P72" s="395"/>
      <c r="Q72" s="21" t="s">
        <v>766</v>
      </c>
      <c r="R72" s="192" t="s">
        <v>405</v>
      </c>
      <c r="S72" s="264">
        <v>33.767493261532159</v>
      </c>
      <c r="T72" s="264">
        <v>55.271120362508</v>
      </c>
      <c r="U72" s="395"/>
      <c r="V72" s="395"/>
      <c r="W72" s="395"/>
    </row>
    <row r="73" spans="6:23" ht="15" x14ac:dyDescent="0.25">
      <c r="F73" s="395"/>
      <c r="G73" s="395"/>
      <c r="H73" s="263"/>
      <c r="I73" s="263"/>
      <c r="J73" s="263"/>
      <c r="K73" s="263"/>
      <c r="L73" s="263"/>
      <c r="M73" s="263"/>
      <c r="N73" s="263"/>
      <c r="O73" s="263"/>
      <c r="P73" s="395"/>
      <c r="Q73" s="395"/>
      <c r="R73" s="192" t="s">
        <v>409</v>
      </c>
      <c r="S73" s="264">
        <v>35.009696682333001</v>
      </c>
      <c r="T73" s="264">
        <v>81.318259381722058</v>
      </c>
      <c r="U73" s="395"/>
      <c r="V73" s="395"/>
      <c r="W73" s="395"/>
    </row>
    <row r="74" spans="6:23" ht="15" x14ac:dyDescent="0.25">
      <c r="F74" s="395"/>
      <c r="G74" s="395"/>
      <c r="H74" s="263"/>
      <c r="I74" s="263"/>
      <c r="J74" s="263"/>
      <c r="K74" s="263"/>
      <c r="L74" s="263"/>
      <c r="M74" s="263"/>
      <c r="N74" s="263"/>
      <c r="O74" s="263"/>
      <c r="P74" s="395"/>
      <c r="Q74" s="395"/>
      <c r="R74" s="192" t="s">
        <v>418</v>
      </c>
      <c r="S74" s="264">
        <v>31.61361876524148</v>
      </c>
      <c r="T74" s="264">
        <v>55.100961576762394</v>
      </c>
      <c r="U74" s="395"/>
      <c r="V74" s="395"/>
      <c r="W74" s="395"/>
    </row>
    <row r="75" spans="6:23" ht="15" x14ac:dyDescent="0.25">
      <c r="F75" s="395"/>
      <c r="G75" s="395"/>
      <c r="H75" s="263"/>
      <c r="I75" s="263"/>
      <c r="J75" s="263"/>
      <c r="K75" s="263"/>
      <c r="L75" s="263"/>
      <c r="M75" s="263"/>
      <c r="N75" s="263"/>
      <c r="O75" s="263"/>
      <c r="P75" s="395"/>
      <c r="Q75" s="395"/>
      <c r="R75" s="395"/>
      <c r="S75" s="395"/>
      <c r="T75" s="395"/>
      <c r="U75" s="395"/>
      <c r="V75" s="395"/>
      <c r="W75" s="395"/>
    </row>
    <row r="76" spans="6:23" ht="15" x14ac:dyDescent="0.25">
      <c r="F76" s="395"/>
      <c r="G76" s="395"/>
      <c r="H76" s="263"/>
      <c r="I76" s="263"/>
      <c r="J76" s="263"/>
      <c r="K76" s="263"/>
      <c r="L76" s="263"/>
      <c r="M76" s="263"/>
      <c r="N76" s="263"/>
      <c r="O76" s="263"/>
      <c r="P76" s="395"/>
      <c r="Q76" s="395"/>
      <c r="R76" s="395"/>
      <c r="S76" s="395"/>
      <c r="T76" s="395"/>
      <c r="U76" s="395"/>
      <c r="V76" s="395"/>
      <c r="W76" s="395"/>
    </row>
    <row r="77" spans="6:23" x14ac:dyDescent="0.2">
      <c r="F77" s="395" t="s">
        <v>730</v>
      </c>
      <c r="G77" s="399" t="s">
        <v>395</v>
      </c>
      <c r="H77" s="399" t="s">
        <v>409</v>
      </c>
      <c r="I77" s="399" t="s">
        <v>409</v>
      </c>
      <c r="J77" s="399" t="s">
        <v>409</v>
      </c>
      <c r="K77" s="399" t="s">
        <v>409</v>
      </c>
      <c r="L77" s="399" t="s">
        <v>418</v>
      </c>
      <c r="M77" s="399" t="s">
        <v>418</v>
      </c>
      <c r="N77" s="399" t="s">
        <v>418</v>
      </c>
      <c r="O77" s="399" t="s">
        <v>418</v>
      </c>
      <c r="P77" s="399" t="s">
        <v>405</v>
      </c>
      <c r="Q77" s="399" t="s">
        <v>405</v>
      </c>
      <c r="R77" s="399" t="s">
        <v>405</v>
      </c>
      <c r="S77" s="399" t="s">
        <v>405</v>
      </c>
      <c r="T77" s="399" t="s">
        <v>413</v>
      </c>
      <c r="U77" s="399" t="s">
        <v>413</v>
      </c>
      <c r="V77" s="399" t="s">
        <v>413</v>
      </c>
      <c r="W77" s="399" t="s">
        <v>413</v>
      </c>
    </row>
    <row r="78" spans="6:23" x14ac:dyDescent="0.2">
      <c r="F78" s="395"/>
      <c r="G78" s="399" t="s">
        <v>666</v>
      </c>
      <c r="H78" s="399" t="s">
        <v>529</v>
      </c>
      <c r="I78" s="399" t="s">
        <v>529</v>
      </c>
      <c r="J78" s="399" t="s">
        <v>529</v>
      </c>
      <c r="K78" s="399" t="s">
        <v>529</v>
      </c>
      <c r="L78" s="399" t="s">
        <v>529</v>
      </c>
      <c r="M78" s="399" t="s">
        <v>529</v>
      </c>
      <c r="N78" s="399" t="s">
        <v>529</v>
      </c>
      <c r="O78" s="399" t="s">
        <v>529</v>
      </c>
      <c r="P78" s="399" t="s">
        <v>529</v>
      </c>
      <c r="Q78" s="399" t="s">
        <v>529</v>
      </c>
      <c r="R78" s="399" t="s">
        <v>529</v>
      </c>
      <c r="S78" s="399" t="s">
        <v>529</v>
      </c>
      <c r="T78" s="399" t="s">
        <v>529</v>
      </c>
      <c r="U78" s="399" t="s">
        <v>529</v>
      </c>
      <c r="V78" s="399" t="s">
        <v>529</v>
      </c>
      <c r="W78" s="399" t="s">
        <v>529</v>
      </c>
    </row>
    <row r="79" spans="6:23" x14ac:dyDescent="0.2">
      <c r="F79" s="395"/>
      <c r="G79" s="395" t="s">
        <v>533</v>
      </c>
      <c r="H79" s="395">
        <v>0</v>
      </c>
      <c r="I79" s="206">
        <v>1</v>
      </c>
      <c r="J79" s="206">
        <v>2</v>
      </c>
      <c r="K79" s="206">
        <v>3</v>
      </c>
      <c r="L79" s="206">
        <v>0</v>
      </c>
      <c r="M79" s="206">
        <v>1</v>
      </c>
      <c r="N79" s="206">
        <v>2</v>
      </c>
      <c r="O79" s="206">
        <v>3</v>
      </c>
      <c r="P79" s="206">
        <v>0</v>
      </c>
      <c r="Q79" s="206">
        <v>1</v>
      </c>
      <c r="R79" s="206">
        <v>2</v>
      </c>
      <c r="S79" s="206">
        <v>3</v>
      </c>
      <c r="T79" s="206">
        <v>0</v>
      </c>
      <c r="U79" s="206">
        <v>1</v>
      </c>
      <c r="V79" s="206">
        <v>2</v>
      </c>
      <c r="W79" s="206">
        <v>3</v>
      </c>
    </row>
    <row r="80" spans="6:23" x14ac:dyDescent="0.2">
      <c r="F80" s="395"/>
      <c r="G80" s="395" t="s">
        <v>667</v>
      </c>
      <c r="H80" s="394">
        <f>H82*I80/I82</f>
        <v>32.315897435897433</v>
      </c>
      <c r="I80" s="459">
        <f>J80*2.5</f>
        <v>12.830307556941596</v>
      </c>
      <c r="J80" s="459">
        <f>J22</f>
        <v>5.1321230227766383</v>
      </c>
      <c r="K80" s="459" t="e">
        <f>K22</f>
        <v>#REF!</v>
      </c>
      <c r="L80" s="394" t="e">
        <f>L82*M80/M82</f>
        <v>#REF!</v>
      </c>
      <c r="M80" s="459" t="e">
        <f>N80*2.5</f>
        <v>#REF!</v>
      </c>
      <c r="N80" s="459" t="e">
        <f>P22</f>
        <v>#REF!</v>
      </c>
      <c r="O80" s="459" t="e">
        <f>Q22</f>
        <v>#REF!</v>
      </c>
      <c r="P80" s="459" t="e">
        <f>Q80*2.5</f>
        <v>#REF!</v>
      </c>
      <c r="Q80" s="459" t="e">
        <f>R80*2.5</f>
        <v>#REF!</v>
      </c>
      <c r="R80" s="459" t="e">
        <f>V22</f>
        <v>#REF!</v>
      </c>
      <c r="S80" s="459" t="e">
        <f>W22</f>
        <v>#REF!</v>
      </c>
      <c r="T80" s="459" t="e">
        <f>U80*2.5</f>
        <v>#REF!</v>
      </c>
      <c r="U80" s="459" t="e">
        <f>V80*2.5</f>
        <v>#REF!</v>
      </c>
      <c r="V80" s="459" t="e">
        <f>AB22</f>
        <v>#REF!</v>
      </c>
      <c r="W80" s="459" t="e">
        <f>AC22</f>
        <v>#REF!</v>
      </c>
    </row>
    <row r="81" spans="2:23" x14ac:dyDescent="0.2">
      <c r="B81" s="395"/>
      <c r="C81" s="395"/>
      <c r="D81" s="395"/>
      <c r="E81" s="395"/>
      <c r="F81" s="395"/>
      <c r="G81" s="395" t="s">
        <v>668</v>
      </c>
      <c r="H81" s="205">
        <f>I81</f>
        <v>7.3320279332442864</v>
      </c>
      <c r="I81" s="205">
        <f>J81</f>
        <v>7.3320279332442864</v>
      </c>
      <c r="J81" s="459">
        <f>J23</f>
        <v>7.3320279332442864</v>
      </c>
      <c r="K81" s="459">
        <f>K23</f>
        <v>7.3320279332442864</v>
      </c>
      <c r="L81" s="205">
        <f>M81</f>
        <v>7.3320279332442864</v>
      </c>
      <c r="M81" s="205">
        <f>N81</f>
        <v>7.3320279332442864</v>
      </c>
      <c r="N81" s="459">
        <f>P23</f>
        <v>7.3320279332442864</v>
      </c>
      <c r="O81" s="459">
        <f>Q23</f>
        <v>7.3320279332442864</v>
      </c>
      <c r="P81" s="205">
        <f>Q81</f>
        <v>7.3320279332442864</v>
      </c>
      <c r="Q81" s="459">
        <f>R81</f>
        <v>7.3320279332442864</v>
      </c>
      <c r="R81" s="459">
        <f>V23</f>
        <v>7.3320279332442864</v>
      </c>
      <c r="S81" s="459">
        <f>W23</f>
        <v>7.3320279332442864</v>
      </c>
      <c r="T81" s="205">
        <f>U81</f>
        <v>7.3320279332442864</v>
      </c>
      <c r="U81" s="459">
        <f>V81</f>
        <v>7.3320279332442864</v>
      </c>
      <c r="V81" s="459">
        <f>AB23</f>
        <v>7.3320279332442864</v>
      </c>
      <c r="W81" s="459">
        <f>AC23</f>
        <v>7.3320279332442864</v>
      </c>
    </row>
    <row r="82" spans="2:23" x14ac:dyDescent="0.2">
      <c r="B82" s="395"/>
      <c r="C82" s="395"/>
      <c r="D82" s="395"/>
      <c r="E82" s="395"/>
      <c r="F82" s="395"/>
      <c r="G82" s="395" t="s">
        <v>524</v>
      </c>
      <c r="H82" s="394">
        <f t="shared" ref="H82:I86" si="4">H22</f>
        <v>40.394871794871797</v>
      </c>
      <c r="I82" s="459">
        <f t="shared" si="4"/>
        <v>16.037884446176996</v>
      </c>
      <c r="J82" s="459">
        <v>0</v>
      </c>
      <c r="K82" s="459">
        <v>0</v>
      </c>
      <c r="L82" s="394">
        <f>N22</f>
        <v>9</v>
      </c>
      <c r="M82" s="459" t="e">
        <f>O22</f>
        <v>#REF!</v>
      </c>
      <c r="N82" s="459">
        <v>0</v>
      </c>
      <c r="O82" s="459">
        <v>0</v>
      </c>
      <c r="P82" s="459">
        <f>T22</f>
        <v>9</v>
      </c>
      <c r="Q82" s="459" t="e">
        <f>U22</f>
        <v>#REF!</v>
      </c>
      <c r="R82" s="459">
        <v>0</v>
      </c>
      <c r="S82" s="459">
        <v>0</v>
      </c>
      <c r="T82" s="459">
        <f>Z22</f>
        <v>9</v>
      </c>
      <c r="U82" s="459" t="e">
        <f>AA22</f>
        <v>#REF!</v>
      </c>
      <c r="V82" s="459">
        <v>0</v>
      </c>
      <c r="W82" s="459">
        <v>0</v>
      </c>
    </row>
    <row r="83" spans="2:23" x14ac:dyDescent="0.2">
      <c r="B83" s="395"/>
      <c r="C83" s="395"/>
      <c r="D83" s="395"/>
      <c r="E83" s="395"/>
      <c r="F83" s="395"/>
      <c r="G83" s="395" t="s">
        <v>525</v>
      </c>
      <c r="H83" s="394">
        <f t="shared" si="4"/>
        <v>22.403418684913099</v>
      </c>
      <c r="I83" s="459">
        <f t="shared" si="4"/>
        <v>17.922734947930479</v>
      </c>
      <c r="J83" s="459">
        <v>0</v>
      </c>
      <c r="K83" s="459">
        <v>0</v>
      </c>
      <c r="L83" s="394">
        <f t="shared" ref="L83:L86" si="5">N23</f>
        <v>22.403418684913099</v>
      </c>
      <c r="M83" s="459">
        <f>O23</f>
        <v>17.922734947930479</v>
      </c>
      <c r="N83" s="459">
        <v>0</v>
      </c>
      <c r="O83" s="459">
        <v>0</v>
      </c>
      <c r="P83" s="459">
        <f t="shared" ref="P83:P86" si="6">T23</f>
        <v>22.403418684913099</v>
      </c>
      <c r="Q83" s="459">
        <f>U23</f>
        <v>17.922734947930479</v>
      </c>
      <c r="R83" s="459">
        <v>0</v>
      </c>
      <c r="S83" s="459">
        <v>0</v>
      </c>
      <c r="T83" s="459">
        <f t="shared" ref="T83:T86" si="7">Z23</f>
        <v>22.403418684913099</v>
      </c>
      <c r="U83" s="459">
        <f>AA23</f>
        <v>17.922734947930479</v>
      </c>
      <c r="V83" s="459">
        <v>0</v>
      </c>
      <c r="W83" s="459">
        <v>0</v>
      </c>
    </row>
    <row r="84" spans="2:23" x14ac:dyDescent="0.2">
      <c r="B84" s="395"/>
      <c r="C84" s="395"/>
      <c r="D84" s="395"/>
      <c r="E84" s="395"/>
      <c r="F84" s="395"/>
      <c r="G84" s="395" t="s">
        <v>528</v>
      </c>
      <c r="H84" s="394">
        <f t="shared" si="4"/>
        <v>4.7089743589743591</v>
      </c>
      <c r="I84" s="459">
        <f t="shared" si="4"/>
        <v>4.1916666666666664</v>
      </c>
      <c r="J84" s="459">
        <f t="shared" ref="J84:K86" si="8">J24</f>
        <v>1.8966666666666665</v>
      </c>
      <c r="K84" s="459" t="e">
        <f t="shared" si="8"/>
        <v>#REF!</v>
      </c>
      <c r="L84" s="394">
        <f t="shared" si="5"/>
        <v>3</v>
      </c>
      <c r="M84" s="459">
        <f>O24</f>
        <v>4.1916666666666664</v>
      </c>
      <c r="N84" s="459">
        <f t="shared" ref="N84:O86" si="9">P24</f>
        <v>1.8966666666666665</v>
      </c>
      <c r="O84" s="459" t="e">
        <f t="shared" si="9"/>
        <v>#REF!</v>
      </c>
      <c r="P84" s="459">
        <f t="shared" si="6"/>
        <v>10</v>
      </c>
      <c r="Q84" s="459">
        <f>U24</f>
        <v>13.972222222222221</v>
      </c>
      <c r="R84" s="459">
        <f t="shared" ref="R84:S86" si="10">V24</f>
        <v>6.3222222222222211</v>
      </c>
      <c r="S84" s="459" t="e">
        <f t="shared" si="10"/>
        <v>#REF!</v>
      </c>
      <c r="T84" s="459">
        <f t="shared" si="7"/>
        <v>3</v>
      </c>
      <c r="U84" s="459">
        <f>AA24</f>
        <v>4.1916666666666664</v>
      </c>
      <c r="V84" s="459">
        <f t="shared" ref="V84:W86" si="11">AB24</f>
        <v>1.8966666666666665</v>
      </c>
      <c r="W84" s="459" t="e">
        <f t="shared" si="11"/>
        <v>#REF!</v>
      </c>
    </row>
    <row r="85" spans="2:23" x14ac:dyDescent="0.2">
      <c r="B85" s="395"/>
      <c r="C85" s="395"/>
      <c r="D85" s="395"/>
      <c r="E85" s="395"/>
      <c r="F85" s="395"/>
      <c r="G85" s="395" t="s">
        <v>527</v>
      </c>
      <c r="H85" s="394">
        <f t="shared" si="4"/>
        <v>16.756410256410255</v>
      </c>
      <c r="I85" s="459">
        <f t="shared" si="4"/>
        <v>12.826666666666668</v>
      </c>
      <c r="J85" s="459">
        <f t="shared" si="8"/>
        <v>12.826666666666668</v>
      </c>
      <c r="K85" s="459">
        <f t="shared" si="8"/>
        <v>12.826666666666668</v>
      </c>
      <c r="L85" s="394">
        <f t="shared" si="5"/>
        <v>12</v>
      </c>
      <c r="M85" s="459">
        <f>O25</f>
        <v>12.826666666666668</v>
      </c>
      <c r="N85" s="459">
        <f t="shared" si="9"/>
        <v>12.826666666666668</v>
      </c>
      <c r="O85" s="459">
        <f t="shared" si="9"/>
        <v>12.826666666666668</v>
      </c>
      <c r="P85" s="459">
        <f t="shared" si="6"/>
        <v>12</v>
      </c>
      <c r="Q85" s="459">
        <f>U25</f>
        <v>12.826666666666668</v>
      </c>
      <c r="R85" s="459">
        <f t="shared" si="10"/>
        <v>12.826666666666668</v>
      </c>
      <c r="S85" s="459">
        <f t="shared" si="10"/>
        <v>12.826666666666668</v>
      </c>
      <c r="T85" s="459">
        <f t="shared" si="7"/>
        <v>12</v>
      </c>
      <c r="U85" s="459">
        <f>AA25</f>
        <v>12.826666666666668</v>
      </c>
      <c r="V85" s="459">
        <f t="shared" si="11"/>
        <v>12.826666666666668</v>
      </c>
      <c r="W85" s="459">
        <f t="shared" si="11"/>
        <v>12.826666666666668</v>
      </c>
    </row>
    <row r="86" spans="2:23" x14ac:dyDescent="0.2">
      <c r="B86" s="395"/>
      <c r="C86" s="395"/>
      <c r="D86" s="395"/>
      <c r="E86" s="395"/>
      <c r="F86" s="395"/>
      <c r="G86" s="395" t="s">
        <v>526</v>
      </c>
      <c r="H86" s="394">
        <f t="shared" si="4"/>
        <v>6.6</v>
      </c>
      <c r="I86" s="459">
        <f t="shared" si="4"/>
        <v>6.6</v>
      </c>
      <c r="J86" s="459">
        <f t="shared" si="8"/>
        <v>4.020731707317073</v>
      </c>
      <c r="K86" s="459">
        <f t="shared" si="8"/>
        <v>4.020731707317073</v>
      </c>
      <c r="L86" s="394">
        <f t="shared" si="5"/>
        <v>6.6</v>
      </c>
      <c r="M86" s="459">
        <f>O26</f>
        <v>6.6</v>
      </c>
      <c r="N86" s="459">
        <f t="shared" si="9"/>
        <v>4.020731707317073</v>
      </c>
      <c r="O86" s="459">
        <f t="shared" si="9"/>
        <v>4.020731707317073</v>
      </c>
      <c r="P86" s="459">
        <f t="shared" si="6"/>
        <v>6.6</v>
      </c>
      <c r="Q86" s="459">
        <f>U26</f>
        <v>6.6</v>
      </c>
      <c r="R86" s="459">
        <f t="shared" si="10"/>
        <v>4.020731707317073</v>
      </c>
      <c r="S86" s="459">
        <f t="shared" si="10"/>
        <v>4.020731707317073</v>
      </c>
      <c r="T86" s="459">
        <f t="shared" si="7"/>
        <v>6.6</v>
      </c>
      <c r="U86" s="459">
        <f>AA26</f>
        <v>6.6</v>
      </c>
      <c r="V86" s="459">
        <f t="shared" si="11"/>
        <v>4.020731707317073</v>
      </c>
      <c r="W86" s="459">
        <f t="shared" si="11"/>
        <v>4.020731707317073</v>
      </c>
    </row>
    <row r="87" spans="2:23" x14ac:dyDescent="0.2">
      <c r="B87" s="395"/>
      <c r="C87" s="395"/>
      <c r="D87" s="395"/>
      <c r="E87" s="395"/>
      <c r="F87" s="395"/>
      <c r="G87" s="395"/>
      <c r="H87" s="395"/>
      <c r="I87" s="395"/>
      <c r="J87" s="395"/>
      <c r="K87" s="395"/>
      <c r="L87" s="395"/>
      <c r="M87" s="395"/>
      <c r="N87" s="395"/>
      <c r="O87" s="395"/>
      <c r="P87" s="395"/>
      <c r="Q87" s="395"/>
      <c r="R87" s="395"/>
      <c r="S87" s="395"/>
      <c r="T87" s="395"/>
      <c r="U87" s="395"/>
      <c r="V87" s="395"/>
      <c r="W87" s="395"/>
    </row>
  </sheetData>
  <mergeCells count="1">
    <mergeCell ref="I5:L5"/>
  </mergeCells>
  <conditionalFormatting sqref="H29:K29 N29:Q29 T29:W29 Z29:AC29">
    <cfRule type="cellIs" dxfId="2" priority="1" operator="lessThan">
      <formula>$H$30</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A7B5E-14C9-4C8C-A6E3-1FAD7420FA43}">
  <dimension ref="A1:AC87"/>
  <sheetViews>
    <sheetView topLeftCell="G1" workbookViewId="0">
      <selection activeCell="AC23" sqref="AC23"/>
    </sheetView>
  </sheetViews>
  <sheetFormatPr defaultColWidth="9.140625" defaultRowHeight="12.75" x14ac:dyDescent="0.2"/>
  <cols>
    <col min="1" max="1" width="17.7109375" style="10" bestFit="1" customWidth="1"/>
    <col min="2" max="2" width="58" style="10" customWidth="1"/>
    <col min="3" max="5" width="9.140625" style="10"/>
    <col min="6" max="6" width="28" style="10" customWidth="1"/>
    <col min="7" max="7" width="21.7109375" style="10" customWidth="1"/>
    <col min="8" max="12" width="9.140625" style="10"/>
    <col min="13" max="13" width="18.42578125" style="10" customWidth="1"/>
    <col min="14" max="18" width="8.5703125" style="10" customWidth="1"/>
    <col min="19" max="19" width="17.42578125" style="10" customWidth="1"/>
    <col min="20" max="24" width="8.5703125" style="10" customWidth="1"/>
    <col min="25" max="25" width="15.140625" style="10" customWidth="1"/>
    <col min="26" max="31" width="8.5703125" style="10" customWidth="1"/>
    <col min="32" max="16384" width="9.140625" style="10"/>
  </cols>
  <sheetData>
    <row r="1" spans="1:21" x14ac:dyDescent="0.2">
      <c r="A1" s="395" t="s">
        <v>772</v>
      </c>
      <c r="B1" s="395"/>
      <c r="C1" s="395"/>
      <c r="D1" s="395"/>
      <c r="E1" s="395"/>
      <c r="F1" s="395"/>
      <c r="G1" s="395"/>
      <c r="H1" s="395"/>
      <c r="I1" s="395"/>
      <c r="J1" s="395"/>
      <c r="K1" s="395"/>
      <c r="L1" s="395"/>
      <c r="M1" s="395"/>
      <c r="N1" s="395"/>
      <c r="O1" s="395"/>
      <c r="P1" s="395"/>
      <c r="Q1" s="395"/>
      <c r="R1" s="395"/>
      <c r="S1" s="395"/>
      <c r="T1" s="395"/>
      <c r="U1" s="395"/>
    </row>
    <row r="2" spans="1:21" x14ac:dyDescent="0.2">
      <c r="A2" s="395" t="s">
        <v>773</v>
      </c>
      <c r="B2" s="395"/>
      <c r="C2" s="395"/>
      <c r="D2" s="395"/>
      <c r="E2" s="395"/>
      <c r="F2" s="395"/>
      <c r="G2" s="395"/>
      <c r="H2" s="395"/>
      <c r="I2" s="395"/>
      <c r="J2" s="395"/>
      <c r="K2" s="395"/>
      <c r="L2" s="395"/>
      <c r="M2" s="395"/>
      <c r="N2" s="395"/>
      <c r="O2" s="395"/>
      <c r="P2" s="395"/>
      <c r="Q2" s="395"/>
      <c r="R2" s="395"/>
      <c r="S2" s="395"/>
      <c r="T2" s="395"/>
      <c r="U2" s="395"/>
    </row>
    <row r="3" spans="1:21" x14ac:dyDescent="0.2">
      <c r="A3" s="395"/>
      <c r="B3" s="395"/>
      <c r="C3" s="395"/>
      <c r="D3" s="395"/>
      <c r="E3" s="395"/>
      <c r="F3" s="395"/>
      <c r="G3" s="395"/>
      <c r="H3" s="395"/>
      <c r="I3" s="395"/>
      <c r="J3" s="395"/>
      <c r="K3" s="395"/>
      <c r="L3" s="395"/>
      <c r="M3" s="395"/>
      <c r="N3" s="395"/>
      <c r="O3" s="395"/>
      <c r="P3" s="395"/>
      <c r="Q3" s="395"/>
      <c r="R3" s="395"/>
      <c r="S3" s="395"/>
      <c r="T3" s="395"/>
      <c r="U3" s="395"/>
    </row>
    <row r="4" spans="1:21" x14ac:dyDescent="0.2">
      <c r="A4" s="395"/>
      <c r="B4" s="395"/>
      <c r="C4" s="395"/>
      <c r="D4" s="395"/>
      <c r="E4" s="395"/>
      <c r="F4" s="395" t="s">
        <v>673</v>
      </c>
      <c r="G4" s="395" t="s">
        <v>674</v>
      </c>
      <c r="H4" s="395"/>
      <c r="I4" s="395"/>
      <c r="J4" s="395"/>
      <c r="K4" s="395"/>
      <c r="L4" s="395"/>
      <c r="M4" s="395"/>
      <c r="N4" s="395"/>
      <c r="O4" s="395"/>
      <c r="P4" s="395"/>
      <c r="Q4" s="395"/>
      <c r="R4" s="395"/>
      <c r="S4" s="395"/>
      <c r="T4" s="395"/>
      <c r="U4" s="395"/>
    </row>
    <row r="5" spans="1:21" ht="15" x14ac:dyDescent="0.25">
      <c r="A5" s="395"/>
      <c r="B5" s="395"/>
      <c r="C5" s="395"/>
      <c r="D5" s="395"/>
      <c r="E5" s="395"/>
      <c r="F5" s="395"/>
      <c r="G5" s="398" t="s">
        <v>774</v>
      </c>
      <c r="H5" s="392" t="s">
        <v>676</v>
      </c>
      <c r="I5" s="649" t="s">
        <v>677</v>
      </c>
      <c r="J5" s="649">
        <v>0</v>
      </c>
      <c r="K5" s="649">
        <v>0</v>
      </c>
      <c r="L5" s="649">
        <v>0</v>
      </c>
      <c r="M5" s="395"/>
      <c r="N5" s="263"/>
      <c r="O5" s="263"/>
      <c r="P5" s="263"/>
      <c r="Q5" s="263"/>
      <c r="R5" s="263"/>
      <c r="S5" s="263"/>
      <c r="T5" s="263"/>
      <c r="U5" s="263"/>
    </row>
    <row r="6" spans="1:21" ht="15" x14ac:dyDescent="0.25">
      <c r="A6" s="395"/>
      <c r="B6" s="395"/>
      <c r="C6" s="395"/>
      <c r="D6" s="395"/>
      <c r="E6" s="395"/>
      <c r="F6" s="395"/>
      <c r="G6" s="3" t="s">
        <v>678</v>
      </c>
      <c r="H6" s="398" t="s">
        <v>679</v>
      </c>
      <c r="I6" s="392">
        <v>1</v>
      </c>
      <c r="J6" s="392">
        <v>2</v>
      </c>
      <c r="K6" s="392">
        <v>3</v>
      </c>
      <c r="L6" s="392">
        <v>4</v>
      </c>
      <c r="M6" s="395"/>
      <c r="N6" s="263"/>
      <c r="O6" s="263"/>
      <c r="P6" s="263"/>
      <c r="Q6" s="263"/>
      <c r="R6" s="263"/>
      <c r="S6" s="263"/>
      <c r="T6" s="263"/>
      <c r="U6" s="263"/>
    </row>
    <row r="7" spans="1:21" ht="15" x14ac:dyDescent="0.25">
      <c r="A7" s="395"/>
      <c r="B7" s="395"/>
      <c r="C7" s="395"/>
      <c r="D7" s="395"/>
      <c r="E7" s="395"/>
      <c r="F7" s="395"/>
      <c r="G7" s="3" t="s">
        <v>274</v>
      </c>
      <c r="H7" s="447">
        <v>46.673624635513612</v>
      </c>
      <c r="I7" s="447">
        <v>26.054334441260746</v>
      </c>
      <c r="J7" s="447">
        <v>21.711945367717288</v>
      </c>
      <c r="K7" s="448">
        <v>7.8163003323782236</v>
      </c>
      <c r="L7" s="448">
        <v>3.5292490043010103</v>
      </c>
      <c r="M7" s="395"/>
      <c r="N7" s="263"/>
      <c r="O7" s="263"/>
      <c r="P7" s="263"/>
      <c r="Q7" s="263"/>
      <c r="R7" s="263"/>
      <c r="S7" s="263"/>
      <c r="T7" s="263"/>
      <c r="U7" s="263"/>
    </row>
    <row r="8" spans="1:21" ht="15" x14ac:dyDescent="0.25">
      <c r="A8" s="395"/>
      <c r="B8" s="395"/>
      <c r="C8" s="395"/>
      <c r="D8" s="395"/>
      <c r="E8" s="395"/>
      <c r="F8" s="395"/>
      <c r="G8" s="3" t="s">
        <v>680</v>
      </c>
      <c r="H8" s="447">
        <v>17.952635599694425</v>
      </c>
      <c r="I8" s="448">
        <v>5.0267379679144382</v>
      </c>
      <c r="J8" s="448">
        <v>5.0267379679144382</v>
      </c>
      <c r="K8" s="448">
        <v>5.0267379679144382</v>
      </c>
      <c r="L8" s="448">
        <v>5.0267379679144382</v>
      </c>
      <c r="M8" s="395"/>
      <c r="N8" s="263"/>
      <c r="O8" s="263"/>
      <c r="P8" s="263"/>
      <c r="Q8" s="263"/>
      <c r="R8" s="263"/>
      <c r="S8" s="263"/>
      <c r="T8" s="263"/>
      <c r="U8" s="263"/>
    </row>
    <row r="9" spans="1:21" ht="15" x14ac:dyDescent="0.25">
      <c r="A9" s="395"/>
      <c r="B9" s="415"/>
      <c r="C9" s="395"/>
      <c r="D9" s="395"/>
      <c r="E9" s="395"/>
      <c r="F9" s="395"/>
      <c r="G9" s="3" t="s">
        <v>275</v>
      </c>
      <c r="H9" s="448">
        <v>4.26139726056876</v>
      </c>
      <c r="I9" s="448">
        <v>3.9715835117657816</v>
      </c>
      <c r="J9" s="448">
        <v>3.4717933268057544</v>
      </c>
      <c r="K9" s="448">
        <v>2.4614532112460861</v>
      </c>
      <c r="L9" s="448">
        <v>2.4652191222199509</v>
      </c>
      <c r="M9" s="395"/>
      <c r="N9" s="263"/>
      <c r="O9" s="448">
        <f>3.88964804872013-U9</f>
        <v>3.8896480487201299</v>
      </c>
      <c r="P9" s="448">
        <v>3.0996406244956369</v>
      </c>
      <c r="Q9" s="448">
        <v>3.2545809617060653</v>
      </c>
      <c r="R9" s="448">
        <v>3.172268907563025</v>
      </c>
      <c r="S9" s="448">
        <v>3.1168562175190178</v>
      </c>
      <c r="T9" s="263"/>
      <c r="U9" s="263"/>
    </row>
    <row r="10" spans="1:21" ht="15" x14ac:dyDescent="0.25">
      <c r="A10" s="395"/>
      <c r="B10" s="415"/>
      <c r="C10" s="395"/>
      <c r="D10" s="395"/>
      <c r="E10" s="395"/>
      <c r="F10" s="395"/>
      <c r="G10" s="4" t="s">
        <v>682</v>
      </c>
      <c r="H10" s="448">
        <f>O10</f>
        <v>1.8896480487201299</v>
      </c>
      <c r="I10" s="448">
        <f>P10</f>
        <v>1.0996406244956369</v>
      </c>
      <c r="J10" s="448">
        <f>Q10</f>
        <v>1.2545809617060653</v>
      </c>
      <c r="K10" s="448">
        <f>R10</f>
        <v>1.172268907563025</v>
      </c>
      <c r="L10" s="448">
        <f>S10</f>
        <v>1.1168562175190178</v>
      </c>
      <c r="M10" s="395" t="s">
        <v>775</v>
      </c>
      <c r="N10" s="461">
        <v>2</v>
      </c>
      <c r="O10" s="264">
        <f>O9-$N10</f>
        <v>1.8896480487201299</v>
      </c>
      <c r="P10" s="264">
        <f>P9-$N10</f>
        <v>1.0996406244956369</v>
      </c>
      <c r="Q10" s="264">
        <f>Q9-$N10</f>
        <v>1.2545809617060653</v>
      </c>
      <c r="R10" s="264">
        <f>R9-$N10</f>
        <v>1.172268907563025</v>
      </c>
      <c r="S10" s="264">
        <f>S9-$N10</f>
        <v>1.1168562175190178</v>
      </c>
      <c r="T10" s="263"/>
      <c r="U10" s="263"/>
    </row>
    <row r="11" spans="1:21" ht="15" x14ac:dyDescent="0.25">
      <c r="A11" s="395"/>
      <c r="B11" s="395"/>
      <c r="C11" s="395"/>
      <c r="D11" s="395"/>
      <c r="E11" s="395"/>
      <c r="F11" s="395"/>
      <c r="G11" s="3" t="s">
        <v>683</v>
      </c>
      <c r="H11" s="448">
        <v>9.9742842079213254</v>
      </c>
      <c r="I11" s="448">
        <v>7.3978631145159728</v>
      </c>
      <c r="J11" s="448">
        <v>11.740252188059429</v>
      </c>
      <c r="K11" s="448">
        <v>7.3978631145159728</v>
      </c>
      <c r="L11" s="448">
        <v>7.3978631145159728</v>
      </c>
      <c r="M11" s="395"/>
      <c r="N11" s="263"/>
      <c r="O11" s="448">
        <v>9.9742842079213254</v>
      </c>
      <c r="P11" s="448">
        <v>7.3978631145159728</v>
      </c>
      <c r="Q11" s="448">
        <v>11.740252188059429</v>
      </c>
      <c r="R11" s="448">
        <v>7.3978631145159728</v>
      </c>
      <c r="S11" s="448">
        <v>7.3978631145159728</v>
      </c>
      <c r="T11" s="263"/>
      <c r="U11" s="263"/>
    </row>
    <row r="12" spans="1:21" ht="15" x14ac:dyDescent="0.25">
      <c r="A12" s="395"/>
      <c r="B12" s="395"/>
      <c r="C12" s="395"/>
      <c r="D12" s="395"/>
      <c r="E12" s="395"/>
      <c r="F12" s="395"/>
      <c r="G12" s="3" t="s">
        <v>684</v>
      </c>
      <c r="H12" s="447">
        <v>2.2283433219638686</v>
      </c>
      <c r="I12" s="447">
        <v>2.2287844715350928</v>
      </c>
      <c r="J12" s="447">
        <v>2.2287844715350928</v>
      </c>
      <c r="K12" s="447">
        <v>2.2287844715350928</v>
      </c>
      <c r="L12" s="447">
        <v>2.2287844715350928</v>
      </c>
      <c r="M12" s="395"/>
      <c r="N12" s="263"/>
      <c r="O12" s="263"/>
      <c r="P12" s="263"/>
      <c r="Q12" s="263"/>
      <c r="R12" s="263"/>
      <c r="S12" s="263"/>
      <c r="T12" s="263"/>
      <c r="U12" s="263"/>
    </row>
    <row r="13" spans="1:21" ht="15" x14ac:dyDescent="0.25">
      <c r="A13" s="395"/>
      <c r="B13" s="395"/>
      <c r="C13" s="395"/>
      <c r="D13" s="395"/>
      <c r="E13" s="395"/>
      <c r="F13" s="395"/>
      <c r="G13" s="398" t="s">
        <v>686</v>
      </c>
      <c r="H13" s="447">
        <f>H12+H8+H7</f>
        <v>66.854603557171913</v>
      </c>
      <c r="I13" s="447">
        <f>I12+I7</f>
        <v>28.283118912795839</v>
      </c>
      <c r="J13" s="447">
        <f>J12+J7</f>
        <v>23.940729839252381</v>
      </c>
      <c r="K13" s="447">
        <f>K12</f>
        <v>2.2287844715350928</v>
      </c>
      <c r="L13" s="447">
        <f>L12</f>
        <v>2.2287844715350928</v>
      </c>
      <c r="M13" s="395"/>
      <c r="N13" s="263"/>
      <c r="O13" s="263"/>
      <c r="P13" s="263"/>
      <c r="Q13" s="263"/>
      <c r="R13" s="263"/>
      <c r="S13" s="263"/>
      <c r="T13" s="263"/>
      <c r="U13" s="263"/>
    </row>
    <row r="14" spans="1:21" ht="15" x14ac:dyDescent="0.25">
      <c r="A14" s="395"/>
      <c r="B14" s="395"/>
      <c r="C14" s="395"/>
      <c r="D14" s="395"/>
      <c r="E14" s="395"/>
      <c r="F14" s="395"/>
      <c r="G14" s="398" t="s">
        <v>688</v>
      </c>
      <c r="H14" s="448">
        <f>H11+H10+H9</f>
        <v>16.125329517210215</v>
      </c>
      <c r="I14" s="448">
        <f>I11+I10+I9+I8</f>
        <v>17.495825218691831</v>
      </c>
      <c r="J14" s="448">
        <f>J11+J10+J9+J8</f>
        <v>21.493364444485689</v>
      </c>
      <c r="K14" s="448">
        <f>K11+K10+K9+K8+K7</f>
        <v>23.874623533617743</v>
      </c>
      <c r="L14" s="448">
        <f>L11+L10+L9+L8+L7</f>
        <v>19.535925426470392</v>
      </c>
      <c r="M14" s="395"/>
      <c r="N14" s="263"/>
      <c r="O14" s="263"/>
      <c r="P14" s="263"/>
      <c r="Q14" s="263"/>
      <c r="R14" s="263"/>
      <c r="S14" s="263"/>
      <c r="T14" s="263"/>
      <c r="U14" s="263"/>
    </row>
    <row r="15" spans="1:21" ht="15" x14ac:dyDescent="0.25">
      <c r="A15" s="395"/>
      <c r="B15" s="395"/>
      <c r="C15" s="395"/>
      <c r="D15" s="395"/>
      <c r="E15" s="395"/>
      <c r="F15" s="395"/>
      <c r="G15" s="398" t="s">
        <v>690</v>
      </c>
      <c r="H15" s="449">
        <f>H14+H13</f>
        <v>82.979933074382132</v>
      </c>
      <c r="I15" s="449">
        <f>I14+I13</f>
        <v>45.77894413148767</v>
      </c>
      <c r="J15" s="449">
        <f>J14+J13</f>
        <v>45.434094283738069</v>
      </c>
      <c r="K15" s="449">
        <f>K14+K13</f>
        <v>26.103408005152836</v>
      </c>
      <c r="L15" s="449">
        <f>L14+L13</f>
        <v>21.764709898005485</v>
      </c>
      <c r="M15" s="395"/>
      <c r="N15" s="263"/>
      <c r="O15" s="395"/>
      <c r="P15" s="395"/>
      <c r="Q15" s="263"/>
      <c r="R15" s="263"/>
      <c r="S15" s="263"/>
      <c r="T15" s="263"/>
      <c r="U15" s="263"/>
    </row>
    <row r="16" spans="1:21" ht="15" x14ac:dyDescent="0.25">
      <c r="A16" s="395"/>
      <c r="B16" s="395"/>
      <c r="C16" s="395"/>
      <c r="D16" s="395"/>
      <c r="E16" s="395"/>
      <c r="F16" s="395"/>
      <c r="G16" s="395"/>
      <c r="H16" s="395"/>
      <c r="I16" s="395"/>
      <c r="J16" s="395"/>
      <c r="K16" s="395"/>
      <c r="L16" s="395"/>
      <c r="M16" s="395"/>
      <c r="N16" s="263"/>
      <c r="O16" s="395"/>
      <c r="P16" s="395"/>
      <c r="Q16" s="263"/>
      <c r="R16" s="263"/>
      <c r="S16" s="263"/>
      <c r="T16" s="263"/>
      <c r="U16" s="263"/>
    </row>
    <row r="18" spans="1:29" x14ac:dyDescent="0.2">
      <c r="A18" s="395"/>
      <c r="B18" s="395"/>
      <c r="C18" s="395"/>
      <c r="D18" s="395"/>
      <c r="E18" s="395"/>
      <c r="F18" s="395" t="s">
        <v>691</v>
      </c>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row>
    <row r="19" spans="1:29" ht="12.75" customHeight="1" x14ac:dyDescent="0.2">
      <c r="A19" s="395"/>
      <c r="B19" s="395"/>
      <c r="C19" s="395"/>
      <c r="D19" s="395"/>
      <c r="E19" s="395"/>
      <c r="F19" s="395"/>
      <c r="G19" s="5" t="s">
        <v>692</v>
      </c>
      <c r="H19" s="183" t="s">
        <v>409</v>
      </c>
      <c r="I19" s="183" t="s">
        <v>409</v>
      </c>
      <c r="J19" s="183" t="s">
        <v>409</v>
      </c>
      <c r="K19" s="183" t="s">
        <v>409</v>
      </c>
      <c r="L19" s="395"/>
      <c r="M19" s="5" t="s">
        <v>692</v>
      </c>
      <c r="N19" s="186" t="s">
        <v>418</v>
      </c>
      <c r="O19" s="186" t="s">
        <v>418</v>
      </c>
      <c r="P19" s="186" t="s">
        <v>418</v>
      </c>
      <c r="Q19" s="186" t="s">
        <v>418</v>
      </c>
      <c r="R19" s="395"/>
      <c r="S19" s="5" t="s">
        <v>692</v>
      </c>
      <c r="T19" s="185" t="s">
        <v>405</v>
      </c>
      <c r="U19" s="185" t="s">
        <v>405</v>
      </c>
      <c r="V19" s="185" t="s">
        <v>405</v>
      </c>
      <c r="W19" s="185" t="s">
        <v>405</v>
      </c>
      <c r="X19" s="395"/>
      <c r="Y19" s="5" t="s">
        <v>692</v>
      </c>
      <c r="Z19" s="185" t="s">
        <v>693</v>
      </c>
      <c r="AA19" s="185" t="s">
        <v>693</v>
      </c>
      <c r="AB19" s="185" t="s">
        <v>693</v>
      </c>
      <c r="AC19" s="185" t="s">
        <v>693</v>
      </c>
    </row>
    <row r="20" spans="1:29" ht="25.5" x14ac:dyDescent="0.2">
      <c r="A20" s="395"/>
      <c r="B20" s="395"/>
      <c r="C20" s="395"/>
      <c r="D20" s="395"/>
      <c r="E20" s="395"/>
      <c r="F20" s="395"/>
      <c r="G20" s="5" t="s">
        <v>694</v>
      </c>
      <c r="H20" s="183"/>
      <c r="I20" s="12" t="s">
        <v>695</v>
      </c>
      <c r="J20" s="12" t="s">
        <v>696</v>
      </c>
      <c r="K20" s="13" t="s">
        <v>697</v>
      </c>
      <c r="L20" s="395"/>
      <c r="M20" s="5" t="s">
        <v>694</v>
      </c>
      <c r="N20" s="184"/>
      <c r="O20" s="12" t="s">
        <v>698</v>
      </c>
      <c r="P20" s="12" t="s">
        <v>696</v>
      </c>
      <c r="Q20" s="13" t="s">
        <v>697</v>
      </c>
      <c r="R20" s="395"/>
      <c r="S20" s="5" t="s">
        <v>694</v>
      </c>
      <c r="T20" s="185"/>
      <c r="U20" s="12" t="s">
        <v>698</v>
      </c>
      <c r="V20" s="12" t="s">
        <v>696</v>
      </c>
      <c r="W20" s="13" t="s">
        <v>697</v>
      </c>
      <c r="X20" s="395"/>
      <c r="Y20" s="5" t="s">
        <v>694</v>
      </c>
      <c r="Z20" s="185"/>
      <c r="AA20" s="12" t="s">
        <v>698</v>
      </c>
      <c r="AB20" s="12" t="s">
        <v>696</v>
      </c>
      <c r="AC20" s="13" t="s">
        <v>697</v>
      </c>
    </row>
    <row r="21" spans="1:29" ht="25.5" x14ac:dyDescent="0.2">
      <c r="A21" s="395"/>
      <c r="B21" s="395"/>
      <c r="C21" s="395"/>
      <c r="D21" s="395"/>
      <c r="E21" s="395"/>
      <c r="F21" s="395"/>
      <c r="G21" s="6" t="s">
        <v>699</v>
      </c>
      <c r="H21" s="6" t="s">
        <v>700</v>
      </c>
      <c r="I21" s="6">
        <v>1</v>
      </c>
      <c r="J21" s="6">
        <v>2</v>
      </c>
      <c r="K21" s="6">
        <v>3</v>
      </c>
      <c r="L21" s="395"/>
      <c r="M21" s="6" t="s">
        <v>699</v>
      </c>
      <c r="N21" s="6" t="s">
        <v>700</v>
      </c>
      <c r="O21" s="6">
        <v>1</v>
      </c>
      <c r="P21" s="6">
        <v>2</v>
      </c>
      <c r="Q21" s="6">
        <v>3</v>
      </c>
      <c r="R21" s="395"/>
      <c r="S21" s="6" t="s">
        <v>699</v>
      </c>
      <c r="T21" s="6" t="s">
        <v>700</v>
      </c>
      <c r="U21" s="6">
        <v>1</v>
      </c>
      <c r="V21" s="6">
        <v>2</v>
      </c>
      <c r="W21" s="6">
        <v>3</v>
      </c>
      <c r="X21" s="395"/>
      <c r="Y21" s="6" t="s">
        <v>699</v>
      </c>
      <c r="Z21" s="6" t="s">
        <v>700</v>
      </c>
      <c r="AA21" s="6">
        <v>1</v>
      </c>
      <c r="AB21" s="6">
        <v>2</v>
      </c>
      <c r="AC21" s="6">
        <v>3</v>
      </c>
    </row>
    <row r="22" spans="1:29" x14ac:dyDescent="0.2">
      <c r="A22" s="395"/>
      <c r="B22" s="395"/>
      <c r="C22" s="395"/>
      <c r="D22" s="395"/>
      <c r="E22" s="395"/>
      <c r="F22" s="395"/>
      <c r="G22" s="6" t="s">
        <v>274</v>
      </c>
      <c r="H22" s="9">
        <f>H7*0.8</f>
        <v>37.338899708410892</v>
      </c>
      <c r="I22" s="9">
        <f t="shared" ref="H22:I24" si="0">I7</f>
        <v>26.054334441260746</v>
      </c>
      <c r="J22" s="187">
        <f>I22*'Electrification of Gas End Uses'!$D$4</f>
        <v>8.3373870212034387</v>
      </c>
      <c r="K22" s="187" t="e">
        <f>#REF!*(1+#REF!)/'Electrification of Gas End Uses'!D12</f>
        <v>#REF!</v>
      </c>
      <c r="L22" s="395"/>
      <c r="M22" s="6" t="s">
        <v>274</v>
      </c>
      <c r="N22" s="17">
        <v>10</v>
      </c>
      <c r="O22" s="9" t="e">
        <f>N22*(1-#REF!)</f>
        <v>#REF!</v>
      </c>
      <c r="P22" s="187" t="e">
        <f>O22*'Electrification of Gas End Uses'!$D$4</f>
        <v>#REF!</v>
      </c>
      <c r="Q22" s="11" t="e">
        <f>K22/J22*P22</f>
        <v>#REF!</v>
      </c>
      <c r="R22" s="395"/>
      <c r="S22" s="6" t="s">
        <v>274</v>
      </c>
      <c r="T22" s="17">
        <v>10</v>
      </c>
      <c r="U22" s="9" t="e">
        <f>O22/N22*T22</f>
        <v>#REF!</v>
      </c>
      <c r="V22" s="187" t="e">
        <f>U22*'Electrification of Gas End Uses'!$D$4</f>
        <v>#REF!</v>
      </c>
      <c r="W22" s="11" t="e">
        <f>Q22/P22*V22</f>
        <v>#REF!</v>
      </c>
      <c r="X22" s="395"/>
      <c r="Y22" s="6" t="s">
        <v>274</v>
      </c>
      <c r="Z22" s="17">
        <v>10</v>
      </c>
      <c r="AA22" s="9" t="e">
        <f>U22/T22*Z22</f>
        <v>#REF!</v>
      </c>
      <c r="AB22" s="187" t="e">
        <f>AA22*'Electrification of Gas End Uses'!$D$4</f>
        <v>#REF!</v>
      </c>
      <c r="AC22" s="11" t="e">
        <f>W22/V22*AB22</f>
        <v>#REF!</v>
      </c>
    </row>
    <row r="23" spans="1:29" x14ac:dyDescent="0.2">
      <c r="A23" s="395"/>
      <c r="B23" s="395"/>
      <c r="C23" s="395"/>
      <c r="D23" s="395"/>
      <c r="E23" s="395"/>
      <c r="F23" s="129"/>
      <c r="G23" s="6" t="s">
        <v>680</v>
      </c>
      <c r="H23" s="9">
        <f>'MF-New-Tall'!H23*0.85</f>
        <v>15.101994279972587</v>
      </c>
      <c r="I23" s="9">
        <f>H23*0.8</f>
        <v>12.081595423978071</v>
      </c>
      <c r="J23" s="11">
        <f>I23*'Electrification of Gas End Uses'!$E$4</f>
        <v>4.942470855263756</v>
      </c>
      <c r="K23" s="11">
        <f>J23</f>
        <v>4.942470855263756</v>
      </c>
      <c r="L23" s="395"/>
      <c r="M23" s="6" t="s">
        <v>680</v>
      </c>
      <c r="N23" s="9">
        <f>$H23</f>
        <v>15.101994279972587</v>
      </c>
      <c r="O23" s="9">
        <f>N23*0.8</f>
        <v>12.081595423978071</v>
      </c>
      <c r="P23" s="11">
        <f>O23*'Electrification of Gas End Uses'!$E$4</f>
        <v>4.942470855263756</v>
      </c>
      <c r="Q23" s="11">
        <f>$K23</f>
        <v>4.942470855263756</v>
      </c>
      <c r="R23" s="395"/>
      <c r="S23" s="6" t="s">
        <v>680</v>
      </c>
      <c r="T23" s="9">
        <f>$H23</f>
        <v>15.101994279972587</v>
      </c>
      <c r="U23" s="9">
        <f>T23*0.8</f>
        <v>12.081595423978071</v>
      </c>
      <c r="V23" s="11">
        <f>U23*'Electrification of Gas End Uses'!$E$4</f>
        <v>4.942470855263756</v>
      </c>
      <c r="W23" s="11">
        <f>$K23</f>
        <v>4.942470855263756</v>
      </c>
      <c r="X23" s="395"/>
      <c r="Y23" s="6" t="s">
        <v>680</v>
      </c>
      <c r="Z23" s="9">
        <f>$H23</f>
        <v>15.101994279972587</v>
      </c>
      <c r="AA23" s="9">
        <f>Z23*0.8</f>
        <v>12.081595423978071</v>
      </c>
      <c r="AB23" s="11">
        <f>AA23*'Electrification of Gas End Uses'!$E$4</f>
        <v>4.942470855263756</v>
      </c>
      <c r="AC23" s="11">
        <f>$K23</f>
        <v>4.942470855263756</v>
      </c>
    </row>
    <row r="24" spans="1:29" x14ac:dyDescent="0.2">
      <c r="A24" s="395"/>
      <c r="B24" s="395"/>
      <c r="C24" s="395"/>
      <c r="D24" s="395"/>
      <c r="E24" s="395"/>
      <c r="F24" s="395"/>
      <c r="G24" s="6" t="s">
        <v>275</v>
      </c>
      <c r="H24" s="11">
        <f t="shared" si="0"/>
        <v>4.26139726056876</v>
      </c>
      <c r="I24" s="11">
        <f t="shared" si="0"/>
        <v>3.9715835117657816</v>
      </c>
      <c r="J24" s="260">
        <f>I24*(1-0.3)</f>
        <v>2.7801084582360471</v>
      </c>
      <c r="K24" s="8" t="e">
        <f>#REF!*(1+#REF!)/'Electrification of Gas End Uses'!D12</f>
        <v>#REF!</v>
      </c>
      <c r="L24" s="395"/>
      <c r="M24" s="6" t="s">
        <v>275</v>
      </c>
      <c r="N24" s="18">
        <v>3</v>
      </c>
      <c r="O24" s="11">
        <f t="shared" ref="O24:Q26" si="1">I24</f>
        <v>3.9715835117657816</v>
      </c>
      <c r="P24" s="260">
        <f t="shared" si="1"/>
        <v>2.7801084582360471</v>
      </c>
      <c r="Q24" s="260" t="e">
        <f t="shared" si="1"/>
        <v>#REF!</v>
      </c>
      <c r="R24" s="395"/>
      <c r="S24" s="6" t="s">
        <v>275</v>
      </c>
      <c r="T24" s="18">
        <v>10</v>
      </c>
      <c r="U24" s="11">
        <f>O24/N24*T24</f>
        <v>13.238611705885939</v>
      </c>
      <c r="V24" s="260">
        <f>P24/O24*U24</f>
        <v>9.2670281941201562</v>
      </c>
      <c r="W24" s="260" t="e">
        <f>Q24/P24*V24</f>
        <v>#REF!</v>
      </c>
      <c r="X24" s="395"/>
      <c r="Y24" s="6" t="s">
        <v>275</v>
      </c>
      <c r="Z24" s="18">
        <v>3</v>
      </c>
      <c r="AA24" s="11">
        <f>$I24</f>
        <v>3.9715835117657816</v>
      </c>
      <c r="AB24" s="11">
        <f>$J24</f>
        <v>2.7801084582360471</v>
      </c>
      <c r="AC24" s="11" t="e">
        <f>$K24</f>
        <v>#REF!</v>
      </c>
    </row>
    <row r="25" spans="1:29" x14ac:dyDescent="0.2">
      <c r="A25" s="395"/>
      <c r="B25" s="395"/>
      <c r="C25" s="395"/>
      <c r="D25" s="395"/>
      <c r="E25" s="395"/>
      <c r="F25" s="129"/>
      <c r="G25" s="6" t="s">
        <v>701</v>
      </c>
      <c r="H25" s="11">
        <f>'MF-New-Tall'!H25*0.85</f>
        <v>14.242948717948718</v>
      </c>
      <c r="I25" s="11">
        <f>H25*I11/H11</f>
        <v>10.563904413188393</v>
      </c>
      <c r="J25" s="11">
        <f>K10+K11</f>
        <v>8.5701320220789974</v>
      </c>
      <c r="K25" s="11">
        <f>L10+L11</f>
        <v>8.514719332034991</v>
      </c>
      <c r="L25" s="395"/>
      <c r="M25" s="6" t="s">
        <v>701</v>
      </c>
      <c r="N25" s="11">
        <f>H25</f>
        <v>14.242948717948718</v>
      </c>
      <c r="O25" s="11">
        <f t="shared" si="1"/>
        <v>10.563904413188393</v>
      </c>
      <c r="P25" s="11">
        <f t="shared" si="1"/>
        <v>8.5701320220789974</v>
      </c>
      <c r="Q25" s="11">
        <f t="shared" si="1"/>
        <v>8.514719332034991</v>
      </c>
      <c r="R25" s="395"/>
      <c r="S25" s="6" t="s">
        <v>701</v>
      </c>
      <c r="T25" s="11">
        <v>12</v>
      </c>
      <c r="U25" s="11">
        <f t="shared" ref="U25:W26" si="2">O25</f>
        <v>10.563904413188393</v>
      </c>
      <c r="V25" s="11">
        <f t="shared" si="2"/>
        <v>8.5701320220789974</v>
      </c>
      <c r="W25" s="11">
        <f t="shared" si="2"/>
        <v>8.514719332034991</v>
      </c>
      <c r="X25" s="395"/>
      <c r="Y25" s="6" t="s">
        <v>701</v>
      </c>
      <c r="Z25" s="11">
        <v>12</v>
      </c>
      <c r="AA25" s="11">
        <f t="shared" ref="AA25:AC26" si="3">U25</f>
        <v>10.563904413188393</v>
      </c>
      <c r="AB25" s="11">
        <f t="shared" si="3"/>
        <v>8.5701320220789974</v>
      </c>
      <c r="AC25" s="11">
        <f t="shared" si="3"/>
        <v>8.514719332034991</v>
      </c>
    </row>
    <row r="26" spans="1:29" x14ac:dyDescent="0.2">
      <c r="A26" s="395"/>
      <c r="B26" s="395"/>
      <c r="C26" s="395"/>
      <c r="D26" s="395"/>
      <c r="E26" s="395"/>
      <c r="F26" s="395"/>
      <c r="G26" s="7" t="s">
        <v>526</v>
      </c>
      <c r="H26" s="9">
        <f>'RECS Microdata End Uses'!E8</f>
        <v>2.3855910242193104</v>
      </c>
      <c r="I26" s="9">
        <f>H26</f>
        <v>2.3855910242193104</v>
      </c>
      <c r="J26" s="9">
        <f>I26*'Electrification of Gas End Uses'!F4</f>
        <v>1.4533062836014536</v>
      </c>
      <c r="K26" s="9">
        <f>J26</f>
        <v>1.4533062836014536</v>
      </c>
      <c r="L26" s="395"/>
      <c r="M26" s="7" t="s">
        <v>526</v>
      </c>
      <c r="N26" s="9">
        <f>H26</f>
        <v>2.3855910242193104</v>
      </c>
      <c r="O26" s="9">
        <f t="shared" si="1"/>
        <v>2.3855910242193104</v>
      </c>
      <c r="P26" s="9">
        <f t="shared" si="1"/>
        <v>1.4533062836014536</v>
      </c>
      <c r="Q26" s="9">
        <f t="shared" si="1"/>
        <v>1.4533062836014536</v>
      </c>
      <c r="R26" s="395"/>
      <c r="S26" s="7" t="s">
        <v>526</v>
      </c>
      <c r="T26" s="9">
        <f>N26</f>
        <v>2.3855910242193104</v>
      </c>
      <c r="U26" s="9">
        <f t="shared" si="2"/>
        <v>2.3855910242193104</v>
      </c>
      <c r="V26" s="9">
        <f t="shared" si="2"/>
        <v>1.4533062836014536</v>
      </c>
      <c r="W26" s="9">
        <f t="shared" si="2"/>
        <v>1.4533062836014536</v>
      </c>
      <c r="X26" s="395"/>
      <c r="Y26" s="7" t="s">
        <v>526</v>
      </c>
      <c r="Z26" s="9">
        <f>T26</f>
        <v>2.3855910242193104</v>
      </c>
      <c r="AA26" s="9">
        <f t="shared" si="3"/>
        <v>2.3855910242193104</v>
      </c>
      <c r="AB26" s="9">
        <f t="shared" si="3"/>
        <v>1.4533062836014536</v>
      </c>
      <c r="AC26" s="9">
        <f t="shared" si="3"/>
        <v>1.4533062836014536</v>
      </c>
    </row>
    <row r="27" spans="1:29" x14ac:dyDescent="0.2">
      <c r="A27" s="395"/>
      <c r="B27" s="395"/>
      <c r="C27" s="395"/>
      <c r="D27" s="395"/>
      <c r="E27" s="395"/>
      <c r="F27" s="395"/>
      <c r="G27" s="7" t="s">
        <v>702</v>
      </c>
      <c r="H27" s="9">
        <f>SUM(H26,H22:H23)</f>
        <v>54.826485012602788</v>
      </c>
      <c r="I27" s="9">
        <f>SUM(I26,I22,I23)</f>
        <v>40.521520889458124</v>
      </c>
      <c r="J27" s="9">
        <v>0</v>
      </c>
      <c r="K27" s="9">
        <v>0</v>
      </c>
      <c r="L27" s="395"/>
      <c r="M27" s="7" t="s">
        <v>702</v>
      </c>
      <c r="N27" s="9">
        <f>SUM(N26,N22:N23)</f>
        <v>27.487585304191896</v>
      </c>
      <c r="O27" s="9" t="e">
        <f>SUM(O26,O22,O23)</f>
        <v>#REF!</v>
      </c>
      <c r="P27" s="9">
        <v>0</v>
      </c>
      <c r="Q27" s="9">
        <v>0</v>
      </c>
      <c r="R27" s="395"/>
      <c r="S27" s="7" t="s">
        <v>702</v>
      </c>
      <c r="T27" s="9">
        <f>SUM(T26,T22:T23)</f>
        <v>27.487585304191896</v>
      </c>
      <c r="U27" s="9" t="e">
        <f>SUM(U26,U22,U23)</f>
        <v>#REF!</v>
      </c>
      <c r="V27" s="9">
        <v>0</v>
      </c>
      <c r="W27" s="9">
        <v>0</v>
      </c>
      <c r="X27" s="395"/>
      <c r="Y27" s="7" t="s">
        <v>702</v>
      </c>
      <c r="Z27" s="9">
        <f>SUM(Z26,Z22:Z23)</f>
        <v>27.487585304191896</v>
      </c>
      <c r="AA27" s="9" t="e">
        <f>SUM(AA26,AA22,AA23)</f>
        <v>#REF!</v>
      </c>
      <c r="AB27" s="9">
        <v>0</v>
      </c>
      <c r="AC27" s="9">
        <v>0</v>
      </c>
    </row>
    <row r="28" spans="1:29" x14ac:dyDescent="0.2">
      <c r="A28" s="395"/>
      <c r="B28" s="395"/>
      <c r="C28" s="395"/>
      <c r="D28" s="395"/>
      <c r="E28" s="395"/>
      <c r="F28" s="395"/>
      <c r="G28" s="8" t="s">
        <v>703</v>
      </c>
      <c r="H28" s="11">
        <f>SUM(H24:H25)</f>
        <v>18.504345978517478</v>
      </c>
      <c r="I28" s="11">
        <f>SUM(I24:I25)</f>
        <v>14.535487924954175</v>
      </c>
      <c r="J28" s="11">
        <f>SUM(J22:J26)</f>
        <v>26.083404640383691</v>
      </c>
      <c r="K28" s="11" t="e">
        <f>SUM(K22:K26)</f>
        <v>#REF!</v>
      </c>
      <c r="L28" s="395"/>
      <c r="M28" s="8" t="s">
        <v>703</v>
      </c>
      <c r="N28" s="11">
        <f>SUM(N24:N25)</f>
        <v>17.242948717948718</v>
      </c>
      <c r="O28" s="11">
        <f>SUM(O24:O25)</f>
        <v>14.535487924954175</v>
      </c>
      <c r="P28" s="11" t="e">
        <f>SUM(P22:P26)</f>
        <v>#REF!</v>
      </c>
      <c r="Q28" s="11" t="e">
        <f>SUM(Q22:Q26)</f>
        <v>#REF!</v>
      </c>
      <c r="R28" s="395"/>
      <c r="S28" s="8" t="s">
        <v>703</v>
      </c>
      <c r="T28" s="11">
        <f>SUM(T24:T25)</f>
        <v>22</v>
      </c>
      <c r="U28" s="11">
        <f>SUM(U24:U25)</f>
        <v>23.802516119074333</v>
      </c>
      <c r="V28" s="11" t="e">
        <f>SUM(V22:V26)</f>
        <v>#REF!</v>
      </c>
      <c r="W28" s="11" t="e">
        <f>SUM(W22:W26)</f>
        <v>#REF!</v>
      </c>
      <c r="X28" s="395"/>
      <c r="Y28" s="8" t="s">
        <v>703</v>
      </c>
      <c r="Z28" s="11">
        <f>SUM(Z24:Z25)</f>
        <v>15</v>
      </c>
      <c r="AA28" s="11">
        <f>SUM(AA24:AA25)</f>
        <v>14.535487924954175</v>
      </c>
      <c r="AB28" s="11" t="e">
        <f>SUM(AB22:AB26)</f>
        <v>#REF!</v>
      </c>
      <c r="AC28" s="11" t="e">
        <f>SUM(AC22:AC26)</f>
        <v>#REF!</v>
      </c>
    </row>
    <row r="29" spans="1:29" x14ac:dyDescent="0.2">
      <c r="A29" s="395"/>
      <c r="B29" s="395"/>
      <c r="C29" s="395"/>
      <c r="D29" s="395"/>
      <c r="E29" s="395"/>
      <c r="F29" s="395"/>
      <c r="G29" s="5" t="s">
        <v>690</v>
      </c>
      <c r="H29" s="14">
        <f>H27+H28</f>
        <v>73.330830991120266</v>
      </c>
      <c r="I29" s="14">
        <f>I27+I28</f>
        <v>55.057008814412299</v>
      </c>
      <c r="J29" s="14">
        <f>J27+J28</f>
        <v>26.083404640383691</v>
      </c>
      <c r="K29" s="14" t="e">
        <f>K27+K28</f>
        <v>#REF!</v>
      </c>
      <c r="L29" s="395"/>
      <c r="M29" s="5" t="s">
        <v>690</v>
      </c>
      <c r="N29" s="14">
        <f>N27+N28</f>
        <v>44.730534022140617</v>
      </c>
      <c r="O29" s="14" t="e">
        <f>O27+O28</f>
        <v>#REF!</v>
      </c>
      <c r="P29" s="14" t="e">
        <f>P27+P28</f>
        <v>#REF!</v>
      </c>
      <c r="Q29" s="14" t="e">
        <f>Q27+Q28</f>
        <v>#REF!</v>
      </c>
      <c r="R29" s="395"/>
      <c r="S29" s="5" t="s">
        <v>690</v>
      </c>
      <c r="T29" s="14">
        <f>T27+T28</f>
        <v>49.487585304191896</v>
      </c>
      <c r="U29" s="14" t="e">
        <f>U27+U28</f>
        <v>#REF!</v>
      </c>
      <c r="V29" s="14" t="e">
        <f>V27+V28</f>
        <v>#REF!</v>
      </c>
      <c r="W29" s="14" t="e">
        <f>W27+W28</f>
        <v>#REF!</v>
      </c>
      <c r="X29" s="395"/>
      <c r="Y29" s="5" t="s">
        <v>690</v>
      </c>
      <c r="Z29" s="14">
        <f>Z27+Z28</f>
        <v>42.487585304191896</v>
      </c>
      <c r="AA29" s="14" t="e">
        <f>AA27+AA28</f>
        <v>#REF!</v>
      </c>
      <c r="AB29" s="14" t="e">
        <f>AB27+AB28</f>
        <v>#REF!</v>
      </c>
      <c r="AC29" s="14" t="e">
        <f>AC27+AC28</f>
        <v>#REF!</v>
      </c>
    </row>
    <row r="30" spans="1:29" x14ac:dyDescent="0.2">
      <c r="A30" s="395"/>
      <c r="B30" s="395"/>
      <c r="C30" s="395"/>
      <c r="D30" s="395"/>
      <c r="E30" s="395"/>
      <c r="F30" s="395"/>
      <c r="G30" s="395" t="s">
        <v>705</v>
      </c>
      <c r="H30" s="91">
        <v>17</v>
      </c>
      <c r="I30" s="395"/>
      <c r="J30" s="395"/>
      <c r="K30" s="395"/>
      <c r="L30" s="395"/>
      <c r="M30" s="395"/>
      <c r="N30" s="395"/>
      <c r="O30" s="395"/>
      <c r="P30" s="395"/>
      <c r="Q30" s="395"/>
      <c r="R30" s="395"/>
      <c r="S30" s="395"/>
      <c r="T30" s="395"/>
      <c r="U30" s="395"/>
      <c r="V30" s="395"/>
      <c r="W30" s="395"/>
      <c r="X30" s="395"/>
      <c r="Y30" s="395"/>
      <c r="Z30" s="395"/>
      <c r="AA30" s="395"/>
      <c r="AB30" s="395"/>
      <c r="AC30" s="395"/>
    </row>
    <row r="31" spans="1:29" ht="15" x14ac:dyDescent="0.25">
      <c r="A31" s="395"/>
      <c r="B31" s="395"/>
      <c r="C31" s="395"/>
      <c r="D31" s="395"/>
      <c r="E31" s="395"/>
      <c r="F31" s="395"/>
      <c r="G31" s="395"/>
      <c r="H31" s="395"/>
      <c r="I31" s="395"/>
      <c r="J31" s="395"/>
      <c r="K31" s="395"/>
      <c r="L31" s="395"/>
      <c r="M31" s="395" t="s">
        <v>706</v>
      </c>
      <c r="N31" s="263" t="s">
        <v>770</v>
      </c>
      <c r="O31" s="395" t="s">
        <v>771</v>
      </c>
      <c r="P31" s="395"/>
      <c r="Q31" s="395"/>
      <c r="R31" s="395"/>
      <c r="S31" s="395"/>
      <c r="T31" s="395"/>
      <c r="U31" s="395"/>
      <c r="V31" s="395"/>
      <c r="W31" s="395"/>
      <c r="X31" s="395"/>
      <c r="Y31" s="395"/>
      <c r="Z31" s="395"/>
      <c r="AA31" s="395"/>
      <c r="AB31" s="395"/>
      <c r="AC31" s="395"/>
    </row>
    <row r="32" spans="1:29" ht="15" x14ac:dyDescent="0.25">
      <c r="A32" s="395"/>
      <c r="B32" s="395"/>
      <c r="C32" s="395"/>
      <c r="D32" s="395"/>
      <c r="E32" s="395"/>
      <c r="F32" s="395"/>
      <c r="G32" s="395"/>
      <c r="H32" s="395"/>
      <c r="I32" s="395"/>
      <c r="J32" s="395"/>
      <c r="K32" s="395"/>
      <c r="L32" s="395"/>
      <c r="M32" s="24" t="str">
        <f>'Prev Seattle Targets ref'!A3</f>
        <v>Multifamily (1-3)</v>
      </c>
      <c r="N32" s="24">
        <f>'Prev Seattle Targets ref'!B3</f>
        <v>20</v>
      </c>
      <c r="O32" s="24">
        <f>'Prev Seattle Targets ref'!C3</f>
        <v>15</v>
      </c>
      <c r="P32" s="395"/>
      <c r="Q32" s="395"/>
      <c r="R32" s="395"/>
      <c r="S32" s="395"/>
      <c r="T32" s="395"/>
      <c r="U32" s="395"/>
      <c r="V32" s="395"/>
      <c r="W32" s="395"/>
      <c r="X32" s="395"/>
      <c r="Y32" s="395"/>
      <c r="Z32" s="395"/>
      <c r="AA32" s="395"/>
      <c r="AB32" s="395"/>
      <c r="AC32" s="395"/>
    </row>
    <row r="33" spans="1:29" x14ac:dyDescent="0.2">
      <c r="A33" s="395"/>
      <c r="B33" s="395"/>
      <c r="C33" s="395"/>
      <c r="D33" s="395"/>
      <c r="E33" s="395"/>
      <c r="F33" s="395"/>
      <c r="G33" s="395"/>
      <c r="H33" s="395"/>
      <c r="I33" s="395"/>
      <c r="J33" s="395"/>
      <c r="K33" s="395"/>
      <c r="L33" s="395"/>
      <c r="M33" s="444" t="str">
        <f>'Prev Seattle Targets ref'!A4</f>
        <v>Multifamily (4-6)</v>
      </c>
      <c r="N33" s="444">
        <f>'Prev Seattle Targets ref'!B4</f>
        <v>20</v>
      </c>
      <c r="O33" s="444">
        <f>'Prev Seattle Targets ref'!C4</f>
        <v>15</v>
      </c>
      <c r="P33" s="395"/>
      <c r="Q33" s="395"/>
      <c r="R33" s="395"/>
      <c r="S33" s="395"/>
      <c r="T33" s="395"/>
      <c r="U33" s="395"/>
      <c r="V33" s="395"/>
      <c r="W33" s="395"/>
      <c r="X33" s="395"/>
      <c r="Y33" s="395"/>
      <c r="Z33" s="395"/>
      <c r="AA33" s="395"/>
      <c r="AB33" s="395"/>
      <c r="AC33" s="395"/>
    </row>
    <row r="34" spans="1:29" ht="13.5" thickBot="1" x14ac:dyDescent="0.25">
      <c r="A34" s="395"/>
      <c r="B34" s="395"/>
      <c r="C34" s="395"/>
      <c r="D34" s="395"/>
      <c r="E34" s="395"/>
      <c r="F34" s="395"/>
      <c r="G34" s="395" t="s">
        <v>409</v>
      </c>
      <c r="H34" s="395"/>
      <c r="I34" s="395"/>
      <c r="J34" s="395"/>
      <c r="K34" s="395"/>
      <c r="L34" s="395"/>
      <c r="M34" s="395" t="s">
        <v>418</v>
      </c>
      <c r="N34" s="395"/>
      <c r="O34" s="395"/>
      <c r="P34" s="395"/>
      <c r="Q34" s="395"/>
      <c r="R34" s="395"/>
      <c r="S34" s="395" t="s">
        <v>405</v>
      </c>
      <c r="T34" s="395"/>
      <c r="U34" s="395"/>
      <c r="V34" s="395"/>
      <c r="W34" s="395"/>
      <c r="X34" s="395"/>
      <c r="Y34" s="395" t="s">
        <v>693</v>
      </c>
      <c r="Z34" s="395"/>
      <c r="AA34" s="395"/>
      <c r="AB34" s="395"/>
      <c r="AC34" s="395"/>
    </row>
    <row r="35" spans="1:29" x14ac:dyDescent="0.2">
      <c r="A35" s="395"/>
      <c r="B35" s="395"/>
      <c r="C35" s="395"/>
      <c r="D35" s="395"/>
      <c r="E35" s="395"/>
      <c r="F35" s="450">
        <v>2019</v>
      </c>
      <c r="G35" s="188" t="s">
        <v>710</v>
      </c>
      <c r="H35" s="189">
        <f>H$27*'GHG Coefficient Lookup'!$AE$9/1000</f>
        <v>2.9118346190193343</v>
      </c>
      <c r="I35" s="189">
        <f>I$27*'GHG Coefficient Lookup'!$AE$9/1000</f>
        <v>2.1520979744391213</v>
      </c>
      <c r="J35" s="189">
        <f>J$27*'GHG Coefficient Lookup'!$AE$9/1000</f>
        <v>0</v>
      </c>
      <c r="K35" s="189">
        <f>K$27*'GHG Coefficient Lookup'!$AE$9/1000</f>
        <v>0</v>
      </c>
      <c r="L35" s="451"/>
      <c r="M35" s="188" t="s">
        <v>710</v>
      </c>
      <c r="N35" s="189">
        <f>N$27*'GHG Coefficient Lookup'!$AE$9/1000</f>
        <v>1.4598656555056315</v>
      </c>
      <c r="O35" s="189" t="e">
        <f>O$27*'GHG Coefficient Lookup'!$AE$9/1000</f>
        <v>#REF!</v>
      </c>
      <c r="P35" s="189">
        <f>P$27*'GHG Coefficient Lookup'!$AE$9/1000</f>
        <v>0</v>
      </c>
      <c r="Q35" s="189">
        <f>Q$27*'GHG Coefficient Lookup'!$AE$9/1000</f>
        <v>0</v>
      </c>
      <c r="R35" s="451"/>
      <c r="S35" s="188" t="s">
        <v>710</v>
      </c>
      <c r="T35" s="189">
        <f>T$27*'GHG Coefficient Lookup'!$AE$9/1000</f>
        <v>1.4598656555056315</v>
      </c>
      <c r="U35" s="189" t="e">
        <f>U$27*'GHG Coefficient Lookup'!$AE$9/1000</f>
        <v>#REF!</v>
      </c>
      <c r="V35" s="189">
        <f>V$27*'GHG Coefficient Lookup'!$AE$9/1000</f>
        <v>0</v>
      </c>
      <c r="W35" s="189">
        <f>W$27*'GHG Coefficient Lookup'!$AE$9/1000</f>
        <v>0</v>
      </c>
      <c r="X35" s="451"/>
      <c r="Y35" s="188" t="s">
        <v>710</v>
      </c>
      <c r="Z35" s="189">
        <f>Z$27*'GHG Coefficient Lookup'!$AE$9/1000</f>
        <v>1.4598656555056315</v>
      </c>
      <c r="AA35" s="189" t="e">
        <f>AA$27*'GHG Coefficient Lookup'!$AE$9/1000</f>
        <v>#REF!</v>
      </c>
      <c r="AB35" s="189">
        <f>AB$27*'GHG Coefficient Lookup'!$AE$9/1000</f>
        <v>0</v>
      </c>
      <c r="AC35" s="190">
        <f>AC$27*'GHG Coefficient Lookup'!$AE$9/1000</f>
        <v>0</v>
      </c>
    </row>
    <row r="36" spans="1:29" x14ac:dyDescent="0.2">
      <c r="A36" s="395"/>
      <c r="B36" s="395"/>
      <c r="C36" s="395"/>
      <c r="D36" s="395"/>
      <c r="E36" s="395"/>
      <c r="F36" s="429"/>
      <c r="G36" s="8" t="s">
        <v>711</v>
      </c>
      <c r="H36" s="187">
        <f>VLOOKUP(H$19,'GHG Coefficient Lookup'!$AD$3:$AL$6,8,FALSE)*'MF-Short'!H$28</f>
        <v>1.4063302943673281</v>
      </c>
      <c r="I36" s="187">
        <f>VLOOKUP(I$19,'GHG Coefficient Lookup'!$AD$3:$AL$6,8,FALSE)*'MF-Short'!I$28</f>
        <v>1.1046970822965172</v>
      </c>
      <c r="J36" s="187">
        <f>VLOOKUP(J$19,'GHG Coefficient Lookup'!$AD$3:$AL$6,8,FALSE)*'MF-Short'!J$28</f>
        <v>1.9823387526691605</v>
      </c>
      <c r="K36" s="187" t="e">
        <f>VLOOKUP(K$19,'GHG Coefficient Lookup'!$AD$3:$AL$6,8,FALSE)*'MF-Short'!K$28</f>
        <v>#REF!</v>
      </c>
      <c r="L36" s="452"/>
      <c r="M36" s="8" t="s">
        <v>711</v>
      </c>
      <c r="N36" s="187">
        <f>VLOOKUP(N$19,'GHG Coefficient Lookup'!$AD$3:$AL$6,8,FALSE)*'MF-Short'!N$28</f>
        <v>4.6479775271184305E-2</v>
      </c>
      <c r="O36" s="187">
        <f>VLOOKUP(O$19,'GHG Coefficient Lookup'!$AD$3:$AL$6,8,FALSE)*'MF-Short'!O$28</f>
        <v>3.9181593778425138E-2</v>
      </c>
      <c r="P36" s="187" t="e">
        <f>VLOOKUP(P$19,'GHG Coefficient Lookup'!$AD$3:$AL$6,8,FALSE)*'MF-Short'!P$28</f>
        <v>#REF!</v>
      </c>
      <c r="Q36" s="187" t="e">
        <f>VLOOKUP(Q$19,'GHG Coefficient Lookup'!$AD$3:$AL$6,8,FALSE)*'MF-Short'!Q$28</f>
        <v>#REF!</v>
      </c>
      <c r="R36" s="452"/>
      <c r="S36" s="8" t="s">
        <v>711</v>
      </c>
      <c r="T36" s="187">
        <f>VLOOKUP(T$19,'GHG Coefficient Lookup'!$AD$3:$AL$6,8,FALSE)*'MF-Short'!T$28</f>
        <v>4.2149165410595657</v>
      </c>
      <c r="U36" s="187">
        <f>VLOOKUP(U$19,'GHG Coefficient Lookup'!$AD$3:$AL$6,8,FALSE)*'MF-Short'!U$28</f>
        <v>4.5602554049601514</v>
      </c>
      <c r="V36" s="187" t="e">
        <f>VLOOKUP(V$19,'GHG Coefficient Lookup'!$AD$3:$AL$6,8,FALSE)*'MF-Short'!V$28</f>
        <v>#REF!</v>
      </c>
      <c r="W36" s="187" t="e">
        <f>VLOOKUP(W$19,'GHG Coefficient Lookup'!$AD$3:$AL$6,8,FALSE)*'MF-Short'!W$28</f>
        <v>#REF!</v>
      </c>
      <c r="X36" s="452"/>
      <c r="Y36" s="8" t="s">
        <v>711</v>
      </c>
      <c r="Z36" s="187" t="e">
        <f>VLOOKUP(Z$19,'GHG Coefficient Lookup'!$AD$3:$AL$6,8,FALSE)*'MF-Short'!Z$28</f>
        <v>#N/A</v>
      </c>
      <c r="AA36" s="187" t="e">
        <f>VLOOKUP(AA$19,'GHG Coefficient Lookup'!$AD$3:$AL$6,8,FALSE)*'MF-Short'!AA$28</f>
        <v>#N/A</v>
      </c>
      <c r="AB36" s="187" t="e">
        <f>VLOOKUP(AB$19,'GHG Coefficient Lookup'!$AD$3:$AL$6,8,FALSE)*'MF-Short'!AB$28</f>
        <v>#N/A</v>
      </c>
      <c r="AC36" s="191" t="e">
        <f>VLOOKUP(AC$19,'GHG Coefficient Lookup'!$AD$3:$AL$6,8,FALSE)*'MF-Short'!AC$28</f>
        <v>#N/A</v>
      </c>
    </row>
    <row r="37" spans="1:29" ht="13.5" thickBot="1" x14ac:dyDescent="0.25">
      <c r="A37" s="395"/>
      <c r="B37" s="395"/>
      <c r="C37" s="395"/>
      <c r="D37" s="395"/>
      <c r="E37" s="395"/>
      <c r="F37" s="432"/>
      <c r="G37" s="453" t="s">
        <v>712</v>
      </c>
      <c r="H37" s="454">
        <f>H36+H35</f>
        <v>4.3181649133866626</v>
      </c>
      <c r="I37" s="454">
        <f>I36+I35</f>
        <v>3.2567950567356387</v>
      </c>
      <c r="J37" s="454">
        <f>J36+J35</f>
        <v>1.9823387526691605</v>
      </c>
      <c r="K37" s="454" t="e">
        <f>K36+K35</f>
        <v>#REF!</v>
      </c>
      <c r="L37" s="455"/>
      <c r="M37" s="453" t="s">
        <v>712</v>
      </c>
      <c r="N37" s="454">
        <f>N36+N35</f>
        <v>1.5063454307768158</v>
      </c>
      <c r="O37" s="454" t="e">
        <f>O36+O35</f>
        <v>#REF!</v>
      </c>
      <c r="P37" s="454" t="e">
        <f>P36+P35</f>
        <v>#REF!</v>
      </c>
      <c r="Q37" s="454" t="e">
        <f>Q36+Q35</f>
        <v>#REF!</v>
      </c>
      <c r="R37" s="455"/>
      <c r="S37" s="453" t="s">
        <v>712</v>
      </c>
      <c r="T37" s="454">
        <f>T36+T35</f>
        <v>5.6747821965651974</v>
      </c>
      <c r="U37" s="454" t="e">
        <f>U36+U35</f>
        <v>#REF!</v>
      </c>
      <c r="V37" s="454" t="e">
        <f>V36+V35</f>
        <v>#REF!</v>
      </c>
      <c r="W37" s="454" t="e">
        <f>W36+W35</f>
        <v>#REF!</v>
      </c>
      <c r="X37" s="455"/>
      <c r="Y37" s="453" t="s">
        <v>712</v>
      </c>
      <c r="Z37" s="454" t="e">
        <f>Z36+Z35</f>
        <v>#N/A</v>
      </c>
      <c r="AA37" s="454" t="e">
        <f>AA36+AA35</f>
        <v>#N/A</v>
      </c>
      <c r="AB37" s="454" t="e">
        <f>AB36+AB35</f>
        <v>#N/A</v>
      </c>
      <c r="AC37" s="456" t="e">
        <f>AC36+AC35</f>
        <v>#N/A</v>
      </c>
    </row>
    <row r="38" spans="1:29" x14ac:dyDescent="0.2">
      <c r="A38" s="395"/>
      <c r="B38" s="395"/>
      <c r="C38" s="395"/>
      <c r="D38" s="395"/>
      <c r="E38" s="395"/>
      <c r="F38" s="457">
        <v>2050</v>
      </c>
      <c r="G38" s="188" t="s">
        <v>710</v>
      </c>
      <c r="H38" s="189">
        <f>H$27*'GHG Coefficient Lookup'!$AE$9/1000</f>
        <v>2.9118346190193343</v>
      </c>
      <c r="I38" s="189">
        <f>I$27*'GHG Coefficient Lookup'!$AE$9/1000</f>
        <v>2.1520979744391213</v>
      </c>
      <c r="J38" s="189">
        <f>J$27*'GHG Coefficient Lookup'!$AE$9/1000</f>
        <v>0</v>
      </c>
      <c r="K38" s="189">
        <f>K$27*'GHG Coefficient Lookup'!$AE$9/1000</f>
        <v>0</v>
      </c>
      <c r="L38" s="451"/>
      <c r="M38" s="188" t="s">
        <v>710</v>
      </c>
      <c r="N38" s="189">
        <f>N$27*'GHG Coefficient Lookup'!$AE$9/1000</f>
        <v>1.4598656555056315</v>
      </c>
      <c r="O38" s="189" t="e">
        <f>O$27*'GHG Coefficient Lookup'!$AE$9/1000</f>
        <v>#REF!</v>
      </c>
      <c r="P38" s="189">
        <f>P$27*'GHG Coefficient Lookup'!$AE$9/1000</f>
        <v>0</v>
      </c>
      <c r="Q38" s="189">
        <f>Q$27*'GHG Coefficient Lookup'!$AE$9/1000</f>
        <v>0</v>
      </c>
      <c r="R38" s="451"/>
      <c r="S38" s="188" t="s">
        <v>710</v>
      </c>
      <c r="T38" s="189">
        <f>T$27*'GHG Coefficient Lookup'!$AE$9/1000</f>
        <v>1.4598656555056315</v>
      </c>
      <c r="U38" s="189" t="e">
        <f>U$27*'GHG Coefficient Lookup'!$AE$9/1000</f>
        <v>#REF!</v>
      </c>
      <c r="V38" s="189">
        <f>V$27*'GHG Coefficient Lookup'!$AE$9/1000</f>
        <v>0</v>
      </c>
      <c r="W38" s="189">
        <f>W$27*'GHG Coefficient Lookup'!$AE$9/1000</f>
        <v>0</v>
      </c>
      <c r="X38" s="451"/>
      <c r="Y38" s="188" t="s">
        <v>710</v>
      </c>
      <c r="Z38" s="189">
        <f>Z$27*'GHG Coefficient Lookup'!$AE$9/1000</f>
        <v>1.4598656555056315</v>
      </c>
      <c r="AA38" s="189" t="e">
        <f>AA$27*'GHG Coefficient Lookup'!$AE$9/1000</f>
        <v>#REF!</v>
      </c>
      <c r="AB38" s="189">
        <f>AB$27*'GHG Coefficient Lookup'!$AE$9/1000</f>
        <v>0</v>
      </c>
      <c r="AC38" s="190">
        <f>AC$27*'GHG Coefficient Lookup'!$AE$9/1000</f>
        <v>0</v>
      </c>
    </row>
    <row r="39" spans="1:29" x14ac:dyDescent="0.2">
      <c r="A39" s="395"/>
      <c r="B39" s="395"/>
      <c r="C39" s="395"/>
      <c r="D39" s="395"/>
      <c r="E39" s="395"/>
      <c r="F39" s="458" t="s">
        <v>713</v>
      </c>
      <c r="G39" s="8" t="s">
        <v>711</v>
      </c>
      <c r="H39" s="187">
        <f>VLOOKUP(H$19,'GHG Coefficient Lookup'!$AD$3:$AL$6,9,FALSE)*'MF-Short'!H$28</f>
        <v>4.9879974515406045E-2</v>
      </c>
      <c r="I39" s="187">
        <f>VLOOKUP(I$19,'GHG Coefficient Lookup'!$AD$3:$AL$6,9,FALSE)*'MF-Short'!I$28</f>
        <v>3.9181593778425138E-2</v>
      </c>
      <c r="J39" s="187">
        <f>VLOOKUP(J$19,'GHG Coefficient Lookup'!$AD$3:$AL$6,9,FALSE)*'MF-Short'!J$28</f>
        <v>7.0309945579692321E-2</v>
      </c>
      <c r="K39" s="187" t="e">
        <f>VLOOKUP(K$19,'GHG Coefficient Lookup'!$AD$3:$AL$6,9,FALSE)*'MF-Short'!K$28</f>
        <v>#REF!</v>
      </c>
      <c r="L39" s="452"/>
      <c r="M39" s="8" t="s">
        <v>711</v>
      </c>
      <c r="N39" s="187">
        <f>VLOOKUP(N$19,'GHG Coefficient Lookup'!$AD$3:$AL$6,9,FALSE)*'MF-Short'!N$28</f>
        <v>4.6479775271184305E-2</v>
      </c>
      <c r="O39" s="187">
        <f>VLOOKUP(O$19,'GHG Coefficient Lookup'!$AD$3:$AL$6,9,FALSE)*'MF-Short'!O$28</f>
        <v>3.9181593778425138E-2</v>
      </c>
      <c r="P39" s="187" t="e">
        <f>VLOOKUP(P$19,'GHG Coefficient Lookup'!$AD$3:$AL$6,9,FALSE)*'MF-Short'!P$28</f>
        <v>#REF!</v>
      </c>
      <c r="Q39" s="187" t="e">
        <f>VLOOKUP(Q$19,'GHG Coefficient Lookup'!$AD$3:$AL$6,9,FALSE)*'MF-Short'!Q$28</f>
        <v>#REF!</v>
      </c>
      <c r="R39" s="452"/>
      <c r="S39" s="8" t="s">
        <v>711</v>
      </c>
      <c r="T39" s="187">
        <f>VLOOKUP(T$19,'GHG Coefficient Lookup'!$AD$3:$AL$6,9,FALSE)*'MF-Short'!T$28</f>
        <v>5.9302795171086109E-2</v>
      </c>
      <c r="U39" s="187">
        <f>VLOOKUP(U$19,'GHG Coefficient Lookup'!$AD$3:$AL$6,9,FALSE)*'MF-Short'!U$28</f>
        <v>6.4161624452997307E-2</v>
      </c>
      <c r="V39" s="187" t="e">
        <f>VLOOKUP(V$19,'GHG Coefficient Lookup'!$AD$3:$AL$6,9,FALSE)*'MF-Short'!V$28</f>
        <v>#REF!</v>
      </c>
      <c r="W39" s="187" t="e">
        <f>VLOOKUP(W$19,'GHG Coefficient Lookup'!$AD$3:$AL$6,9,FALSE)*'MF-Short'!W$28</f>
        <v>#REF!</v>
      </c>
      <c r="X39" s="452"/>
      <c r="Y39" s="8" t="s">
        <v>711</v>
      </c>
      <c r="Z39" s="187" t="e">
        <f>VLOOKUP(Z$19,'GHG Coefficient Lookup'!$AD$3:$AL$6,9,FALSE)*'MF-Short'!Z$28</f>
        <v>#N/A</v>
      </c>
      <c r="AA39" s="187" t="e">
        <f>VLOOKUP(AA$19,'GHG Coefficient Lookup'!$AD$3:$AL$6,9,FALSE)*'MF-Short'!AA$28</f>
        <v>#N/A</v>
      </c>
      <c r="AB39" s="187" t="e">
        <f>VLOOKUP(AB$19,'GHG Coefficient Lookup'!$AD$3:$AL$6,9,FALSE)*'MF-Short'!AB$28</f>
        <v>#N/A</v>
      </c>
      <c r="AC39" s="191" t="e">
        <f>VLOOKUP(AC$19,'GHG Coefficient Lookup'!$AD$3:$AL$6,9,FALSE)*'MF-Short'!AC$28</f>
        <v>#N/A</v>
      </c>
    </row>
    <row r="40" spans="1:29" ht="13.5" thickBot="1" x14ac:dyDescent="0.25">
      <c r="A40" s="395"/>
      <c r="B40" s="395"/>
      <c r="C40" s="395"/>
      <c r="D40" s="395"/>
      <c r="E40" s="395"/>
      <c r="F40" s="432"/>
      <c r="G40" s="453" t="s">
        <v>712</v>
      </c>
      <c r="H40" s="454">
        <f>H39+H38</f>
        <v>2.9617145935347402</v>
      </c>
      <c r="I40" s="454">
        <f>I39+I38</f>
        <v>2.1912795682175465</v>
      </c>
      <c r="J40" s="454">
        <f>J39+J38</f>
        <v>7.0309945579692321E-2</v>
      </c>
      <c r="K40" s="454" t="e">
        <f>K39+K38</f>
        <v>#REF!</v>
      </c>
      <c r="L40" s="455"/>
      <c r="M40" s="453" t="s">
        <v>712</v>
      </c>
      <c r="N40" s="454">
        <f>N39+N38</f>
        <v>1.5063454307768158</v>
      </c>
      <c r="O40" s="454" t="e">
        <f>O39+O38</f>
        <v>#REF!</v>
      </c>
      <c r="P40" s="454" t="e">
        <f>P39+P38</f>
        <v>#REF!</v>
      </c>
      <c r="Q40" s="454" t="e">
        <f>Q39+Q38</f>
        <v>#REF!</v>
      </c>
      <c r="R40" s="455"/>
      <c r="S40" s="453" t="s">
        <v>712</v>
      </c>
      <c r="T40" s="454">
        <f>T39+T38</f>
        <v>1.5191684506767176</v>
      </c>
      <c r="U40" s="454" t="e">
        <f>U39+U38</f>
        <v>#REF!</v>
      </c>
      <c r="V40" s="454" t="e">
        <f>V39+V38</f>
        <v>#REF!</v>
      </c>
      <c r="W40" s="454" t="e">
        <f>W39+W38</f>
        <v>#REF!</v>
      </c>
      <c r="X40" s="455"/>
      <c r="Y40" s="453" t="s">
        <v>712</v>
      </c>
      <c r="Z40" s="454" t="e">
        <f>Z39+Z38</f>
        <v>#N/A</v>
      </c>
      <c r="AA40" s="454" t="e">
        <f>AA39+AA38</f>
        <v>#N/A</v>
      </c>
      <c r="AB40" s="454" t="e">
        <f>AB39+AB38</f>
        <v>#N/A</v>
      </c>
      <c r="AC40" s="456" t="e">
        <f>AC39+AC38</f>
        <v>#N/A</v>
      </c>
    </row>
    <row r="41" spans="1:29" ht="15" x14ac:dyDescent="0.25">
      <c r="A41" s="395"/>
      <c r="B41" s="395"/>
      <c r="C41" s="395"/>
      <c r="D41" s="395"/>
      <c r="E41" s="395"/>
      <c r="F41" s="395"/>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row>
    <row r="42" spans="1:29" ht="15" x14ac:dyDescent="0.25">
      <c r="A42" s="395"/>
      <c r="B42" s="395"/>
      <c r="C42" s="395"/>
      <c r="D42" s="395"/>
      <c r="E42" s="395"/>
      <c r="F42" s="395"/>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row>
    <row r="43" spans="1:29" ht="15" x14ac:dyDescent="0.25">
      <c r="A43" s="395"/>
      <c r="B43" s="395"/>
      <c r="C43" s="395"/>
      <c r="D43" s="395"/>
      <c r="E43" s="395"/>
      <c r="F43" s="395"/>
      <c r="G43" s="263"/>
      <c r="H43" s="263"/>
      <c r="I43" s="263"/>
      <c r="J43" s="263"/>
      <c r="K43" s="263"/>
      <c r="L43" s="263"/>
      <c r="M43" s="263"/>
      <c r="N43" s="263"/>
      <c r="O43" s="263"/>
      <c r="P43" s="263"/>
      <c r="Q43" s="263"/>
      <c r="R43" s="263"/>
      <c r="S43" s="263"/>
      <c r="T43" s="263"/>
      <c r="U43" s="263"/>
      <c r="V43" s="263"/>
      <c r="W43" s="263"/>
      <c r="X43" s="263"/>
      <c r="Y43" s="263"/>
      <c r="Z43" s="263"/>
      <c r="AA43" s="263"/>
      <c r="AB43" s="263"/>
      <c r="AC43" s="263"/>
    </row>
    <row r="44" spans="1:29" ht="15" x14ac:dyDescent="0.25">
      <c r="A44" s="395"/>
      <c r="B44" s="395"/>
      <c r="C44" s="395"/>
      <c r="D44" s="395"/>
      <c r="E44" s="395"/>
      <c r="F44" s="395"/>
      <c r="G44" s="263"/>
      <c r="H44" s="263"/>
      <c r="I44" s="263"/>
      <c r="J44" s="263"/>
      <c r="K44" s="263"/>
      <c r="L44" s="263"/>
      <c r="M44" s="263"/>
      <c r="N44" s="263"/>
      <c r="O44" s="263"/>
      <c r="P44" s="263"/>
      <c r="Q44" s="263"/>
      <c r="R44" s="263"/>
      <c r="S44" s="263"/>
      <c r="T44" s="263"/>
      <c r="U44" s="263"/>
      <c r="V44" s="263"/>
      <c r="W44" s="263"/>
      <c r="X44" s="263"/>
      <c r="Y44" s="263"/>
      <c r="Z44" s="263"/>
      <c r="AA44" s="263"/>
      <c r="AB44" s="263"/>
      <c r="AC44" s="263"/>
    </row>
    <row r="45" spans="1:29" ht="15" x14ac:dyDescent="0.25">
      <c r="A45" s="395"/>
      <c r="B45" s="395"/>
      <c r="C45" s="395"/>
      <c r="D45" s="395"/>
      <c r="E45" s="395"/>
      <c r="F45" s="395"/>
      <c r="G45" s="263"/>
      <c r="H45" s="263"/>
      <c r="I45" s="263"/>
      <c r="J45" s="263"/>
      <c r="K45" s="263"/>
      <c r="L45" s="263"/>
      <c r="M45" s="263"/>
      <c r="N45" s="263"/>
      <c r="O45" s="263"/>
      <c r="P45" s="263"/>
      <c r="Q45" s="263"/>
      <c r="R45" s="263"/>
      <c r="S45" s="263"/>
      <c r="T45" s="263"/>
      <c r="U45" s="263"/>
      <c r="V45" s="263"/>
      <c r="W45" s="263"/>
      <c r="X45" s="263"/>
      <c r="Y45" s="263"/>
      <c r="Z45" s="263"/>
      <c r="AA45" s="263"/>
      <c r="AB45" s="263"/>
      <c r="AC45" s="263"/>
    </row>
    <row r="46" spans="1:29" ht="15" x14ac:dyDescent="0.25">
      <c r="A46" s="395"/>
      <c r="B46" s="395"/>
      <c r="C46" s="395"/>
      <c r="D46" s="395"/>
      <c r="E46" s="395"/>
      <c r="F46" s="395"/>
      <c r="G46" s="263"/>
      <c r="H46" s="263"/>
      <c r="I46" s="263"/>
      <c r="J46" s="263"/>
      <c r="K46" s="263"/>
      <c r="L46" s="263"/>
      <c r="M46" s="263"/>
      <c r="N46" s="263"/>
      <c r="O46" s="263"/>
      <c r="P46" s="263"/>
      <c r="Q46" s="263"/>
      <c r="R46" s="263"/>
      <c r="S46" s="263"/>
      <c r="T46" s="263"/>
      <c r="U46" s="263"/>
      <c r="V46" s="263"/>
      <c r="W46" s="263"/>
      <c r="X46" s="263"/>
      <c r="Y46" s="263"/>
      <c r="Z46" s="263"/>
      <c r="AA46" s="263"/>
      <c r="AB46" s="263"/>
      <c r="AC46" s="263"/>
    </row>
    <row r="47" spans="1:29" ht="15" x14ac:dyDescent="0.25">
      <c r="A47" s="395"/>
      <c r="B47" s="395"/>
      <c r="C47" s="395"/>
      <c r="D47" s="395"/>
      <c r="E47" s="395"/>
      <c r="F47" s="395"/>
      <c r="G47" s="263"/>
      <c r="H47" s="263"/>
      <c r="I47" s="263"/>
      <c r="J47" s="263"/>
      <c r="K47" s="263"/>
      <c r="L47" s="263"/>
      <c r="M47" s="263"/>
      <c r="N47" s="263"/>
      <c r="O47" s="263"/>
      <c r="P47" s="263"/>
      <c r="Q47" s="263"/>
      <c r="R47" s="263"/>
      <c r="S47" s="263"/>
      <c r="T47" s="263"/>
      <c r="U47" s="263"/>
      <c r="V47" s="263"/>
      <c r="W47" s="263"/>
      <c r="X47" s="263"/>
      <c r="Y47" s="263"/>
      <c r="Z47" s="263"/>
      <c r="AA47" s="263"/>
      <c r="AB47" s="263"/>
      <c r="AC47" s="263"/>
    </row>
    <row r="48" spans="1:29" ht="15" x14ac:dyDescent="0.25">
      <c r="A48" s="395"/>
      <c r="B48" s="395"/>
      <c r="C48" s="395"/>
      <c r="D48" s="395"/>
      <c r="E48" s="395"/>
      <c r="F48" s="395"/>
      <c r="G48" s="395"/>
      <c r="H48" s="395"/>
      <c r="I48" s="395"/>
      <c r="J48" s="395"/>
      <c r="K48" s="395"/>
      <c r="L48" s="395"/>
      <c r="M48" s="395"/>
      <c r="N48" s="395"/>
      <c r="O48" s="395"/>
      <c r="P48" s="395"/>
      <c r="Q48" s="395"/>
      <c r="R48" s="395"/>
      <c r="S48" s="395"/>
      <c r="T48" s="395"/>
      <c r="U48" s="395"/>
      <c r="V48" s="395"/>
      <c r="W48" s="395"/>
      <c r="X48" s="395"/>
      <c r="Y48" s="395"/>
      <c r="Z48" s="395"/>
      <c r="AA48" s="395"/>
      <c r="AB48" s="395"/>
      <c r="AC48" s="263"/>
    </row>
    <row r="49" spans="1:29" ht="15" x14ac:dyDescent="0.25">
      <c r="A49" s="395"/>
      <c r="B49" s="395"/>
      <c r="C49" s="395"/>
      <c r="D49" s="395"/>
      <c r="E49" s="395"/>
      <c r="F49" s="395"/>
      <c r="G49" s="395"/>
      <c r="H49" s="395"/>
      <c r="I49" s="395"/>
      <c r="J49" s="395"/>
      <c r="K49" s="395"/>
      <c r="L49" s="395"/>
      <c r="M49" s="395"/>
      <c r="N49" s="395"/>
      <c r="O49" s="395"/>
      <c r="P49" s="395"/>
      <c r="Q49" s="395"/>
      <c r="R49" s="395"/>
      <c r="S49" s="395"/>
      <c r="T49" s="395"/>
      <c r="U49" s="395"/>
      <c r="V49" s="395"/>
      <c r="W49" s="395"/>
      <c r="X49" s="395"/>
      <c r="Y49" s="395"/>
      <c r="Z49" s="395"/>
      <c r="AA49" s="395"/>
      <c r="AB49" s="395"/>
      <c r="AC49" s="263"/>
    </row>
    <row r="50" spans="1:29" x14ac:dyDescent="0.2">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row>
    <row r="51" spans="1:29" x14ac:dyDescent="0.2">
      <c r="A51" s="395"/>
      <c r="B51" s="395"/>
      <c r="C51" s="395"/>
      <c r="D51" s="395"/>
      <c r="E51" s="395"/>
      <c r="F51" s="395"/>
      <c r="G51" s="395"/>
      <c r="H51" s="395"/>
      <c r="I51" s="395"/>
      <c r="J51" s="395"/>
      <c r="K51" s="395"/>
      <c r="L51" s="395"/>
      <c r="M51" s="395"/>
      <c r="N51" s="395"/>
      <c r="O51" s="395"/>
      <c r="P51" s="395"/>
      <c r="Q51" s="395"/>
      <c r="R51" s="395"/>
      <c r="S51" s="395"/>
      <c r="T51" s="395"/>
      <c r="U51" s="395"/>
      <c r="V51" s="395"/>
      <c r="W51" s="395"/>
      <c r="X51" s="395"/>
      <c r="Y51" s="395"/>
      <c r="Z51" s="395"/>
      <c r="AA51" s="395"/>
      <c r="AB51" s="395"/>
      <c r="AC51" s="395"/>
    </row>
    <row r="52" spans="1:29" x14ac:dyDescent="0.2">
      <c r="A52" s="395"/>
      <c r="B52" s="395"/>
      <c r="C52" s="395"/>
      <c r="D52" s="395"/>
      <c r="E52" s="395"/>
      <c r="F52" s="395"/>
      <c r="G52" s="395"/>
      <c r="H52" s="395"/>
      <c r="I52" s="395"/>
      <c r="J52" s="395"/>
      <c r="K52" s="395"/>
      <c r="L52" s="395"/>
      <c r="M52" s="395"/>
      <c r="N52" s="395"/>
      <c r="O52" s="395"/>
      <c r="P52" s="395"/>
      <c r="Q52" s="395"/>
      <c r="R52" s="395"/>
      <c r="S52" s="395"/>
      <c r="T52" s="395"/>
      <c r="U52" s="395"/>
      <c r="V52" s="395"/>
      <c r="W52" s="395"/>
      <c r="X52" s="395"/>
      <c r="Y52" s="395"/>
      <c r="Z52" s="395"/>
      <c r="AA52" s="395"/>
      <c r="AB52" s="395"/>
      <c r="AC52" s="395"/>
    </row>
    <row r="53" spans="1:29" x14ac:dyDescent="0.2">
      <c r="A53" s="395"/>
      <c r="B53" s="395"/>
      <c r="C53" s="394"/>
      <c r="D53" s="395"/>
      <c r="E53" s="395"/>
      <c r="F53" s="395"/>
      <c r="G53" s="395"/>
      <c r="H53" s="395"/>
      <c r="I53" s="395"/>
      <c r="J53" s="395"/>
      <c r="K53" s="395"/>
      <c r="L53" s="395"/>
      <c r="M53" s="395"/>
      <c r="N53" s="395"/>
      <c r="O53" s="395"/>
      <c r="P53" s="395"/>
      <c r="Q53" s="395"/>
      <c r="R53" s="395"/>
      <c r="S53" s="395"/>
      <c r="T53" s="395"/>
      <c r="U53" s="395"/>
      <c r="V53" s="395"/>
      <c r="W53" s="395"/>
      <c r="X53" s="395"/>
      <c r="Y53" s="395"/>
      <c r="Z53" s="395"/>
      <c r="AA53" s="395"/>
      <c r="AB53" s="395"/>
      <c r="AC53" s="395"/>
    </row>
    <row r="54" spans="1:29" x14ac:dyDescent="0.2">
      <c r="A54" s="395"/>
      <c r="B54" s="395"/>
      <c r="C54" s="394"/>
      <c r="D54" s="395"/>
      <c r="E54" s="395"/>
      <c r="F54" s="395"/>
      <c r="G54" s="395"/>
      <c r="H54" s="395"/>
      <c r="I54" s="395"/>
      <c r="J54" s="395"/>
      <c r="K54" s="395"/>
      <c r="L54" s="395"/>
      <c r="M54" s="395"/>
      <c r="N54" s="395"/>
      <c r="O54" s="395"/>
      <c r="P54" s="395"/>
      <c r="Q54" s="395"/>
      <c r="R54" s="395"/>
      <c r="S54" s="395"/>
      <c r="T54" s="395"/>
      <c r="U54" s="395"/>
      <c r="V54" s="395"/>
      <c r="W54" s="395"/>
      <c r="X54" s="395"/>
      <c r="Y54" s="395"/>
      <c r="Z54" s="395"/>
      <c r="AA54" s="395"/>
      <c r="AB54" s="395"/>
      <c r="AC54" s="395"/>
    </row>
    <row r="57" spans="1:29" x14ac:dyDescent="0.2">
      <c r="A57" s="395"/>
      <c r="B57" s="395"/>
      <c r="C57" s="395"/>
      <c r="D57" s="395"/>
      <c r="E57" s="395"/>
      <c r="F57" s="395"/>
      <c r="G57" s="395"/>
      <c r="H57" s="395"/>
      <c r="I57" s="395"/>
      <c r="J57" s="395"/>
      <c r="K57" s="395"/>
      <c r="L57" s="395"/>
      <c r="M57" s="395"/>
      <c r="N57" s="395"/>
      <c r="O57" s="395"/>
      <c r="P57" s="395"/>
      <c r="Q57" s="395"/>
      <c r="R57" s="395"/>
      <c r="S57" s="395"/>
      <c r="T57" s="395"/>
      <c r="U57" s="395"/>
      <c r="V57" s="395"/>
      <c r="W57" s="395"/>
      <c r="X57" s="395"/>
      <c r="Y57" s="395"/>
      <c r="Z57" s="395"/>
      <c r="AA57" s="395"/>
      <c r="AB57" s="395"/>
      <c r="AC57" s="395"/>
    </row>
    <row r="58" spans="1:29" x14ac:dyDescent="0.2">
      <c r="A58" s="395"/>
      <c r="B58" s="395"/>
      <c r="C58" s="395"/>
      <c r="D58" s="395"/>
      <c r="E58" s="395"/>
      <c r="F58" s="395"/>
      <c r="G58" s="395"/>
      <c r="H58" s="395"/>
      <c r="I58" s="395"/>
      <c r="J58" s="395"/>
      <c r="K58" s="395"/>
      <c r="L58" s="395"/>
      <c r="M58" s="395"/>
      <c r="N58" s="395"/>
      <c r="O58" s="395"/>
      <c r="P58" s="395"/>
      <c r="Q58" s="395"/>
      <c r="R58" s="395"/>
      <c r="S58" s="395"/>
      <c r="T58" s="395"/>
      <c r="U58" s="395"/>
      <c r="V58" s="395"/>
      <c r="W58" s="395"/>
      <c r="X58" s="395"/>
      <c r="Y58" s="395"/>
      <c r="Z58" s="395"/>
      <c r="AA58" s="395"/>
      <c r="AB58" s="395"/>
      <c r="AC58" s="395"/>
    </row>
    <row r="59" spans="1:29" x14ac:dyDescent="0.2">
      <c r="A59" s="395"/>
      <c r="B59" s="395"/>
      <c r="C59" s="395"/>
      <c r="D59" s="395"/>
      <c r="E59" s="395"/>
      <c r="F59" s="395"/>
      <c r="G59" s="395"/>
      <c r="H59" s="395"/>
      <c r="I59" s="395"/>
      <c r="J59" s="395"/>
      <c r="K59" s="395"/>
      <c r="L59" s="395"/>
      <c r="M59" s="395"/>
      <c r="N59" s="395"/>
      <c r="O59" s="395"/>
      <c r="P59" s="395"/>
      <c r="Q59" s="395"/>
      <c r="R59" s="395"/>
      <c r="S59" s="395"/>
      <c r="T59" s="395"/>
      <c r="U59" s="395"/>
      <c r="V59" s="395"/>
      <c r="W59" s="395"/>
      <c r="X59" s="395"/>
      <c r="Y59" s="395"/>
      <c r="Z59" s="395"/>
      <c r="AA59" s="395"/>
      <c r="AB59" s="395"/>
      <c r="AC59" s="395"/>
    </row>
    <row r="60" spans="1:29" x14ac:dyDescent="0.2">
      <c r="A60" s="395"/>
      <c r="B60" s="395"/>
      <c r="C60" s="395"/>
      <c r="D60" s="395"/>
      <c r="E60" s="395"/>
      <c r="F60" s="395"/>
      <c r="G60" s="395"/>
      <c r="H60" s="395"/>
      <c r="I60" s="395"/>
      <c r="J60" s="395"/>
      <c r="K60" s="395"/>
      <c r="L60" s="395"/>
      <c r="M60" s="395"/>
      <c r="N60" s="395"/>
      <c r="O60" s="395"/>
      <c r="P60" s="395"/>
      <c r="Q60" s="395"/>
      <c r="R60" s="395"/>
      <c r="S60" s="395"/>
      <c r="T60" s="395"/>
      <c r="U60" s="395"/>
      <c r="V60" s="395"/>
      <c r="W60" s="395"/>
      <c r="X60" s="395"/>
      <c r="Y60" s="395"/>
      <c r="Z60" s="395"/>
      <c r="AA60" s="395"/>
      <c r="AB60" s="395"/>
      <c r="AC60" s="395"/>
    </row>
    <row r="61" spans="1:29" x14ac:dyDescent="0.2">
      <c r="A61" s="395"/>
      <c r="B61" s="395"/>
      <c r="C61" s="395"/>
      <c r="D61" s="395"/>
      <c r="E61" s="395"/>
      <c r="F61" s="395"/>
      <c r="G61" s="395"/>
      <c r="H61" s="395"/>
      <c r="I61" s="395"/>
      <c r="J61" s="395"/>
      <c r="K61" s="395"/>
      <c r="L61" s="395"/>
      <c r="M61" s="395"/>
      <c r="N61" s="395"/>
      <c r="O61" s="395"/>
      <c r="P61" s="395"/>
      <c r="Q61" s="395"/>
      <c r="R61" s="395"/>
      <c r="S61" s="395"/>
      <c r="T61" s="395"/>
      <c r="U61" s="395"/>
      <c r="V61" s="395"/>
      <c r="W61" s="395"/>
      <c r="X61" s="395"/>
      <c r="Y61" s="395"/>
      <c r="Z61" s="395"/>
      <c r="AA61" s="395"/>
      <c r="AB61" s="395"/>
      <c r="AC61" s="395"/>
    </row>
    <row r="62" spans="1:29" x14ac:dyDescent="0.2">
      <c r="A62" s="395"/>
      <c r="B62" s="395"/>
      <c r="C62" s="395"/>
      <c r="D62" s="395"/>
      <c r="E62" s="395"/>
      <c r="F62" s="395"/>
      <c r="G62" s="395"/>
      <c r="H62" s="395"/>
      <c r="I62" s="395"/>
      <c r="J62" s="395"/>
      <c r="K62" s="395"/>
      <c r="L62" s="395"/>
      <c r="M62" s="395"/>
      <c r="N62" s="395"/>
      <c r="O62" s="395"/>
      <c r="P62" s="395"/>
      <c r="Q62" s="395"/>
      <c r="R62" s="395"/>
      <c r="S62" s="395"/>
      <c r="T62" s="395"/>
      <c r="U62" s="395"/>
      <c r="V62" s="395"/>
      <c r="W62" s="395"/>
      <c r="X62" s="395"/>
      <c r="Y62" s="395"/>
      <c r="Z62" s="395"/>
      <c r="AA62" s="395"/>
      <c r="AB62" s="395"/>
      <c r="AC62" s="395"/>
    </row>
    <row r="77" spans="6:23" x14ac:dyDescent="0.2">
      <c r="F77" s="395" t="s">
        <v>730</v>
      </c>
      <c r="G77" s="399" t="s">
        <v>395</v>
      </c>
      <c r="H77" s="399" t="s">
        <v>409</v>
      </c>
      <c r="I77" s="399" t="s">
        <v>409</v>
      </c>
      <c r="J77" s="399" t="s">
        <v>409</v>
      </c>
      <c r="K77" s="399" t="s">
        <v>409</v>
      </c>
      <c r="L77" s="399" t="s">
        <v>418</v>
      </c>
      <c r="M77" s="399" t="s">
        <v>418</v>
      </c>
      <c r="N77" s="399" t="s">
        <v>418</v>
      </c>
      <c r="O77" s="399" t="s">
        <v>418</v>
      </c>
      <c r="P77" s="399" t="s">
        <v>405</v>
      </c>
      <c r="Q77" s="399" t="s">
        <v>405</v>
      </c>
      <c r="R77" s="399" t="s">
        <v>405</v>
      </c>
      <c r="S77" s="399" t="s">
        <v>405</v>
      </c>
      <c r="T77" s="399" t="s">
        <v>413</v>
      </c>
      <c r="U77" s="399" t="s">
        <v>413</v>
      </c>
      <c r="V77" s="399" t="s">
        <v>413</v>
      </c>
      <c r="W77" s="399" t="s">
        <v>413</v>
      </c>
    </row>
    <row r="78" spans="6:23" x14ac:dyDescent="0.2">
      <c r="F78" s="395"/>
      <c r="G78" s="399" t="s">
        <v>666</v>
      </c>
      <c r="H78" s="399" t="s">
        <v>444</v>
      </c>
      <c r="I78" s="399" t="s">
        <v>444</v>
      </c>
      <c r="J78" s="399" t="s">
        <v>444</v>
      </c>
      <c r="K78" s="399" t="s">
        <v>444</v>
      </c>
      <c r="L78" s="399" t="s">
        <v>444</v>
      </c>
      <c r="M78" s="399" t="s">
        <v>444</v>
      </c>
      <c r="N78" s="399" t="s">
        <v>444</v>
      </c>
      <c r="O78" s="399" t="s">
        <v>444</v>
      </c>
      <c r="P78" s="399" t="s">
        <v>444</v>
      </c>
      <c r="Q78" s="399" t="s">
        <v>444</v>
      </c>
      <c r="R78" s="399" t="s">
        <v>444</v>
      </c>
      <c r="S78" s="399" t="s">
        <v>444</v>
      </c>
      <c r="T78" s="399" t="s">
        <v>444</v>
      </c>
      <c r="U78" s="399" t="s">
        <v>444</v>
      </c>
      <c r="V78" s="399" t="s">
        <v>444</v>
      </c>
      <c r="W78" s="399" t="s">
        <v>444</v>
      </c>
    </row>
    <row r="79" spans="6:23" x14ac:dyDescent="0.2">
      <c r="F79" s="395"/>
      <c r="G79" s="395" t="s">
        <v>533</v>
      </c>
      <c r="H79" s="395">
        <v>0</v>
      </c>
      <c r="I79" s="206">
        <v>1</v>
      </c>
      <c r="J79" s="206">
        <v>2</v>
      </c>
      <c r="K79" s="206">
        <v>3</v>
      </c>
      <c r="L79" s="206">
        <v>0</v>
      </c>
      <c r="M79" s="206">
        <v>1</v>
      </c>
      <c r="N79" s="206">
        <v>2</v>
      </c>
      <c r="O79" s="206">
        <v>3</v>
      </c>
      <c r="P79" s="206">
        <v>0</v>
      </c>
      <c r="Q79" s="206">
        <v>1</v>
      </c>
      <c r="R79" s="206">
        <v>2</v>
      </c>
      <c r="S79" s="206">
        <v>3</v>
      </c>
      <c r="T79" s="206">
        <v>0</v>
      </c>
      <c r="U79" s="206">
        <v>1</v>
      </c>
      <c r="V79" s="206">
        <v>2</v>
      </c>
      <c r="W79" s="206">
        <v>3</v>
      </c>
    </row>
    <row r="80" spans="6:23" x14ac:dyDescent="0.2">
      <c r="F80" s="395"/>
      <c r="G80" s="395" t="s">
        <v>667</v>
      </c>
      <c r="H80" s="394">
        <f>H82*I80/I82</f>
        <v>29.871119766728714</v>
      </c>
      <c r="I80" s="459">
        <f>J80*2.5</f>
        <v>20.843467553008598</v>
      </c>
      <c r="J80" s="459">
        <f>J22</f>
        <v>8.3373870212034387</v>
      </c>
      <c r="K80" s="459" t="e">
        <f>K22</f>
        <v>#REF!</v>
      </c>
      <c r="L80" s="394" t="e">
        <f>L82*M80/M82</f>
        <v>#REF!</v>
      </c>
      <c r="M80" s="459" t="e">
        <f>N80*2.5</f>
        <v>#REF!</v>
      </c>
      <c r="N80" s="459" t="e">
        <f>P22</f>
        <v>#REF!</v>
      </c>
      <c r="O80" s="459" t="e">
        <f>Q22</f>
        <v>#REF!</v>
      </c>
      <c r="P80" s="459" t="e">
        <f>Q80*2.5</f>
        <v>#REF!</v>
      </c>
      <c r="Q80" s="459" t="e">
        <f>R80*2.5</f>
        <v>#REF!</v>
      </c>
      <c r="R80" s="459" t="e">
        <f>V22</f>
        <v>#REF!</v>
      </c>
      <c r="S80" s="459" t="e">
        <f>W22</f>
        <v>#REF!</v>
      </c>
      <c r="T80" s="459" t="e">
        <f>U80*2.5</f>
        <v>#REF!</v>
      </c>
      <c r="U80" s="459" t="e">
        <f>V80*2.5</f>
        <v>#REF!</v>
      </c>
      <c r="V80" s="459" t="e">
        <f>AB22</f>
        <v>#REF!</v>
      </c>
      <c r="W80" s="459" t="e">
        <f>AC22</f>
        <v>#REF!</v>
      </c>
    </row>
    <row r="81" spans="2:23" x14ac:dyDescent="0.2">
      <c r="B81" s="395"/>
      <c r="C81" s="395"/>
      <c r="D81" s="395"/>
      <c r="E81" s="395"/>
      <c r="F81" s="395"/>
      <c r="G81" s="395" t="s">
        <v>668</v>
      </c>
      <c r="H81" s="205">
        <f>I81</f>
        <v>4.942470855263756</v>
      </c>
      <c r="I81" s="205">
        <f>J81</f>
        <v>4.942470855263756</v>
      </c>
      <c r="J81" s="459">
        <f>J23</f>
        <v>4.942470855263756</v>
      </c>
      <c r="K81" s="459">
        <f>K23</f>
        <v>4.942470855263756</v>
      </c>
      <c r="L81" s="205">
        <f>M81</f>
        <v>4.942470855263756</v>
      </c>
      <c r="M81" s="205">
        <f>N81</f>
        <v>4.942470855263756</v>
      </c>
      <c r="N81" s="459">
        <f>P23</f>
        <v>4.942470855263756</v>
      </c>
      <c r="O81" s="459">
        <f>Q23</f>
        <v>4.942470855263756</v>
      </c>
      <c r="P81" s="205">
        <f>Q81</f>
        <v>4.942470855263756</v>
      </c>
      <c r="Q81" s="459">
        <f>R81</f>
        <v>4.942470855263756</v>
      </c>
      <c r="R81" s="459">
        <f>V23</f>
        <v>4.942470855263756</v>
      </c>
      <c r="S81" s="459">
        <f>W23</f>
        <v>4.942470855263756</v>
      </c>
      <c r="T81" s="205">
        <f>U81</f>
        <v>4.942470855263756</v>
      </c>
      <c r="U81" s="459">
        <f>V81</f>
        <v>4.942470855263756</v>
      </c>
      <c r="V81" s="459">
        <f>AB23</f>
        <v>4.942470855263756</v>
      </c>
      <c r="W81" s="459">
        <f>AC23</f>
        <v>4.942470855263756</v>
      </c>
    </row>
    <row r="82" spans="2:23" x14ac:dyDescent="0.2">
      <c r="B82" s="395"/>
      <c r="C82" s="395"/>
      <c r="D82" s="395"/>
      <c r="E82" s="395"/>
      <c r="F82" s="395"/>
      <c r="G82" s="395" t="s">
        <v>524</v>
      </c>
      <c r="H82" s="394">
        <f t="shared" ref="H82:I86" si="4">H22</f>
        <v>37.338899708410892</v>
      </c>
      <c r="I82" s="459">
        <f t="shared" si="4"/>
        <v>26.054334441260746</v>
      </c>
      <c r="J82" s="459">
        <v>0</v>
      </c>
      <c r="K82" s="459">
        <v>0</v>
      </c>
      <c r="L82" s="394">
        <f>N22</f>
        <v>10</v>
      </c>
      <c r="M82" s="459" t="e">
        <f>O22</f>
        <v>#REF!</v>
      </c>
      <c r="N82" s="459">
        <v>0</v>
      </c>
      <c r="O82" s="459">
        <v>0</v>
      </c>
      <c r="P82" s="459">
        <f>T22</f>
        <v>10</v>
      </c>
      <c r="Q82" s="459" t="e">
        <f>U22</f>
        <v>#REF!</v>
      </c>
      <c r="R82" s="459">
        <v>0</v>
      </c>
      <c r="S82" s="459">
        <v>0</v>
      </c>
      <c r="T82" s="459">
        <f>Z22</f>
        <v>10</v>
      </c>
      <c r="U82" s="459" t="e">
        <f>AA22</f>
        <v>#REF!</v>
      </c>
      <c r="V82" s="459">
        <v>0</v>
      </c>
      <c r="W82" s="459">
        <v>0</v>
      </c>
    </row>
    <row r="83" spans="2:23" x14ac:dyDescent="0.2">
      <c r="B83" s="395"/>
      <c r="C83" s="395"/>
      <c r="D83" s="395"/>
      <c r="E83" s="395"/>
      <c r="F83" s="395"/>
      <c r="G83" s="395" t="s">
        <v>525</v>
      </c>
      <c r="H83" s="394">
        <f t="shared" si="4"/>
        <v>15.101994279972587</v>
      </c>
      <c r="I83" s="459">
        <f t="shared" si="4"/>
        <v>12.081595423978071</v>
      </c>
      <c r="J83" s="459">
        <v>0</v>
      </c>
      <c r="K83" s="459">
        <v>0</v>
      </c>
      <c r="L83" s="394">
        <f t="shared" ref="L83:L86" si="5">N23</f>
        <v>15.101994279972587</v>
      </c>
      <c r="M83" s="459">
        <f>O23</f>
        <v>12.081595423978071</v>
      </c>
      <c r="N83" s="459">
        <v>0</v>
      </c>
      <c r="O83" s="459">
        <v>0</v>
      </c>
      <c r="P83" s="459">
        <f t="shared" ref="P83:P86" si="6">T23</f>
        <v>15.101994279972587</v>
      </c>
      <c r="Q83" s="459">
        <f>U23</f>
        <v>12.081595423978071</v>
      </c>
      <c r="R83" s="459">
        <v>0</v>
      </c>
      <c r="S83" s="459">
        <v>0</v>
      </c>
      <c r="T83" s="459">
        <f t="shared" ref="T83:T86" si="7">Z23</f>
        <v>15.101994279972587</v>
      </c>
      <c r="U83" s="459">
        <f>AA23</f>
        <v>12.081595423978071</v>
      </c>
      <c r="V83" s="459">
        <v>0</v>
      </c>
      <c r="W83" s="459">
        <v>0</v>
      </c>
    </row>
    <row r="84" spans="2:23" x14ac:dyDescent="0.2">
      <c r="B84" s="395"/>
      <c r="C84" s="395"/>
      <c r="D84" s="395"/>
      <c r="E84" s="395"/>
      <c r="F84" s="395"/>
      <c r="G84" s="395" t="s">
        <v>528</v>
      </c>
      <c r="H84" s="394">
        <f t="shared" si="4"/>
        <v>4.26139726056876</v>
      </c>
      <c r="I84" s="459">
        <f t="shared" si="4"/>
        <v>3.9715835117657816</v>
      </c>
      <c r="J84" s="459">
        <f t="shared" ref="J84:K86" si="8">J24</f>
        <v>2.7801084582360471</v>
      </c>
      <c r="K84" s="459" t="e">
        <f t="shared" si="8"/>
        <v>#REF!</v>
      </c>
      <c r="L84" s="394">
        <f t="shared" si="5"/>
        <v>3</v>
      </c>
      <c r="M84" s="459">
        <f>O24</f>
        <v>3.9715835117657816</v>
      </c>
      <c r="N84" s="459">
        <f t="shared" ref="N84:O86" si="9">P24</f>
        <v>2.7801084582360471</v>
      </c>
      <c r="O84" s="459" t="e">
        <f t="shared" si="9"/>
        <v>#REF!</v>
      </c>
      <c r="P84" s="459">
        <f t="shared" si="6"/>
        <v>10</v>
      </c>
      <c r="Q84" s="459">
        <f>U24</f>
        <v>13.238611705885939</v>
      </c>
      <c r="R84" s="459">
        <f t="shared" ref="R84:S86" si="10">V24</f>
        <v>9.2670281941201562</v>
      </c>
      <c r="S84" s="459" t="e">
        <f t="shared" si="10"/>
        <v>#REF!</v>
      </c>
      <c r="T84" s="459">
        <f t="shared" si="7"/>
        <v>3</v>
      </c>
      <c r="U84" s="459">
        <f>AA24</f>
        <v>3.9715835117657816</v>
      </c>
      <c r="V84" s="459">
        <f t="shared" ref="V84:W86" si="11">AB24</f>
        <v>2.7801084582360471</v>
      </c>
      <c r="W84" s="459" t="e">
        <f t="shared" si="11"/>
        <v>#REF!</v>
      </c>
    </row>
    <row r="85" spans="2:23" x14ac:dyDescent="0.2">
      <c r="B85" s="395"/>
      <c r="C85" s="395"/>
      <c r="D85" s="395"/>
      <c r="E85" s="395"/>
      <c r="F85" s="395"/>
      <c r="G85" s="395" t="s">
        <v>527</v>
      </c>
      <c r="H85" s="394">
        <f t="shared" si="4"/>
        <v>14.242948717948718</v>
      </c>
      <c r="I85" s="459">
        <f t="shared" si="4"/>
        <v>10.563904413188393</v>
      </c>
      <c r="J85" s="459">
        <f t="shared" si="8"/>
        <v>8.5701320220789974</v>
      </c>
      <c r="K85" s="459">
        <f t="shared" si="8"/>
        <v>8.514719332034991</v>
      </c>
      <c r="L85" s="394">
        <f t="shared" si="5"/>
        <v>14.242948717948718</v>
      </c>
      <c r="M85" s="459">
        <f>O25</f>
        <v>10.563904413188393</v>
      </c>
      <c r="N85" s="459">
        <f t="shared" si="9"/>
        <v>8.5701320220789974</v>
      </c>
      <c r="O85" s="459">
        <f t="shared" si="9"/>
        <v>8.514719332034991</v>
      </c>
      <c r="P85" s="459">
        <f t="shared" si="6"/>
        <v>12</v>
      </c>
      <c r="Q85" s="459">
        <f>U25</f>
        <v>10.563904413188393</v>
      </c>
      <c r="R85" s="459">
        <f t="shared" si="10"/>
        <v>8.5701320220789974</v>
      </c>
      <c r="S85" s="459">
        <f t="shared" si="10"/>
        <v>8.514719332034991</v>
      </c>
      <c r="T85" s="459">
        <f t="shared" si="7"/>
        <v>12</v>
      </c>
      <c r="U85" s="459">
        <f>AA25</f>
        <v>10.563904413188393</v>
      </c>
      <c r="V85" s="459">
        <f t="shared" si="11"/>
        <v>8.5701320220789974</v>
      </c>
      <c r="W85" s="459">
        <f t="shared" si="11"/>
        <v>8.514719332034991</v>
      </c>
    </row>
    <row r="86" spans="2:23" x14ac:dyDescent="0.2">
      <c r="B86" s="395"/>
      <c r="C86" s="395"/>
      <c r="D86" s="395"/>
      <c r="E86" s="395"/>
      <c r="F86" s="395"/>
      <c r="G86" s="395" t="s">
        <v>526</v>
      </c>
      <c r="H86" s="394">
        <f t="shared" si="4"/>
        <v>2.3855910242193104</v>
      </c>
      <c r="I86" s="459">
        <f t="shared" si="4"/>
        <v>2.3855910242193104</v>
      </c>
      <c r="J86" s="459">
        <f t="shared" si="8"/>
        <v>1.4533062836014536</v>
      </c>
      <c r="K86" s="459">
        <f t="shared" si="8"/>
        <v>1.4533062836014536</v>
      </c>
      <c r="L86" s="394">
        <f t="shared" si="5"/>
        <v>2.3855910242193104</v>
      </c>
      <c r="M86" s="459">
        <f>O26</f>
        <v>2.3855910242193104</v>
      </c>
      <c r="N86" s="459">
        <f t="shared" si="9"/>
        <v>1.4533062836014536</v>
      </c>
      <c r="O86" s="459">
        <f t="shared" si="9"/>
        <v>1.4533062836014536</v>
      </c>
      <c r="P86" s="459">
        <f t="shared" si="6"/>
        <v>2.3855910242193104</v>
      </c>
      <c r="Q86" s="459">
        <f>U26</f>
        <v>2.3855910242193104</v>
      </c>
      <c r="R86" s="459">
        <f t="shared" si="10"/>
        <v>1.4533062836014536</v>
      </c>
      <c r="S86" s="459">
        <f t="shared" si="10"/>
        <v>1.4533062836014536</v>
      </c>
      <c r="T86" s="459">
        <f t="shared" si="7"/>
        <v>2.3855910242193104</v>
      </c>
      <c r="U86" s="459">
        <f>AA26</f>
        <v>2.3855910242193104</v>
      </c>
      <c r="V86" s="459">
        <f t="shared" si="11"/>
        <v>1.4533062836014536</v>
      </c>
      <c r="W86" s="459">
        <f t="shared" si="11"/>
        <v>1.4533062836014536</v>
      </c>
    </row>
    <row r="87" spans="2:23" x14ac:dyDescent="0.2">
      <c r="B87" s="395"/>
      <c r="C87" s="395"/>
      <c r="D87" s="395"/>
      <c r="E87" s="395"/>
      <c r="F87" s="395"/>
      <c r="G87" s="395"/>
      <c r="H87" s="395"/>
      <c r="I87" s="395"/>
      <c r="J87" s="395"/>
      <c r="K87" s="395"/>
      <c r="L87" s="395"/>
      <c r="M87" s="395"/>
      <c r="N87" s="395"/>
      <c r="O87" s="395"/>
      <c r="P87" s="395"/>
      <c r="Q87" s="395"/>
      <c r="R87" s="395"/>
      <c r="S87" s="395"/>
      <c r="T87" s="395"/>
      <c r="U87" s="395"/>
      <c r="V87" s="395"/>
      <c r="W87" s="395"/>
    </row>
  </sheetData>
  <mergeCells count="1">
    <mergeCell ref="I5:L5"/>
  </mergeCells>
  <conditionalFormatting sqref="H29:K29 N29:Q29 T29:W29 Z29:AC29">
    <cfRule type="cellIs" dxfId="1" priority="1" operator="lessThan">
      <formula>$H$30</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70E9-3A39-4590-97A3-E6D8FCFEB031}">
  <dimension ref="A1:AC87"/>
  <sheetViews>
    <sheetView workbookViewId="0"/>
  </sheetViews>
  <sheetFormatPr defaultColWidth="9.140625" defaultRowHeight="12.75" x14ac:dyDescent="0.2"/>
  <cols>
    <col min="1" max="1" width="17.7109375" style="10" bestFit="1" customWidth="1"/>
    <col min="2" max="2" width="58" style="10" customWidth="1"/>
    <col min="3" max="5" width="9.140625" style="10"/>
    <col min="6" max="6" width="26.140625" style="10" bestFit="1" customWidth="1"/>
    <col min="7" max="7" width="21.7109375" style="10" customWidth="1"/>
    <col min="8" max="12" width="9.140625" style="10"/>
    <col min="13" max="13" width="18.42578125" style="10" customWidth="1"/>
    <col min="14" max="16" width="8.5703125" style="10" customWidth="1"/>
    <col min="17" max="17" width="12.28515625" style="10" customWidth="1"/>
    <col min="18" max="18" width="15.5703125" style="10" customWidth="1"/>
    <col min="19" max="19" width="15.140625" style="10" customWidth="1"/>
    <col min="20" max="24" width="8.5703125" style="10" customWidth="1"/>
    <col min="25" max="25" width="15.140625" style="10" customWidth="1"/>
    <col min="26" max="31" width="8.5703125" style="10" customWidth="1"/>
    <col min="32" max="16384" width="9.140625" style="10"/>
  </cols>
  <sheetData>
    <row r="1" spans="1:21" x14ac:dyDescent="0.2">
      <c r="A1" s="395" t="s">
        <v>425</v>
      </c>
      <c r="B1" s="395"/>
      <c r="C1" s="395"/>
      <c r="D1" s="395"/>
      <c r="E1" s="395"/>
      <c r="F1" s="395"/>
      <c r="G1" s="395"/>
      <c r="H1" s="395"/>
      <c r="I1" s="395"/>
      <c r="J1" s="395"/>
      <c r="K1" s="395"/>
      <c r="L1" s="395"/>
      <c r="M1" s="395"/>
      <c r="N1" s="395"/>
      <c r="O1" s="395"/>
      <c r="P1" s="395"/>
      <c r="Q1" s="395"/>
      <c r="R1" s="395"/>
      <c r="S1" s="395"/>
      <c r="T1" s="395"/>
      <c r="U1" s="395"/>
    </row>
    <row r="2" spans="1:21" x14ac:dyDescent="0.2">
      <c r="A2" s="395" t="s">
        <v>734</v>
      </c>
      <c r="B2" s="395"/>
      <c r="C2" s="395"/>
      <c r="D2" s="395"/>
      <c r="E2" s="395"/>
      <c r="F2" s="395"/>
      <c r="G2" s="395"/>
      <c r="H2" s="395"/>
      <c r="I2" s="395"/>
      <c r="J2" s="395"/>
      <c r="K2" s="395"/>
      <c r="L2" s="395"/>
      <c r="M2" s="395"/>
      <c r="N2" s="395"/>
      <c r="O2" s="395"/>
      <c r="P2" s="395"/>
      <c r="Q2" s="395"/>
      <c r="R2" s="395"/>
      <c r="S2" s="395"/>
      <c r="T2" s="395"/>
      <c r="U2" s="395"/>
    </row>
    <row r="3" spans="1:21" x14ac:dyDescent="0.2">
      <c r="A3" s="395"/>
      <c r="B3" s="395"/>
      <c r="C3" s="395"/>
      <c r="D3" s="395"/>
      <c r="E3" s="395"/>
      <c r="F3" s="395"/>
      <c r="G3" s="395"/>
      <c r="H3" s="395"/>
      <c r="I3" s="395"/>
      <c r="J3" s="395"/>
      <c r="K3" s="395"/>
      <c r="L3" s="395"/>
      <c r="M3" s="395"/>
      <c r="N3" s="395"/>
      <c r="O3" s="395"/>
      <c r="P3" s="395"/>
      <c r="Q3" s="395"/>
      <c r="R3" s="395"/>
      <c r="S3" s="395"/>
      <c r="T3" s="395"/>
      <c r="U3" s="395"/>
    </row>
    <row r="4" spans="1:21" x14ac:dyDescent="0.2">
      <c r="A4" s="395"/>
      <c r="B4" s="395"/>
      <c r="C4" s="395"/>
      <c r="D4" s="395"/>
      <c r="E4" s="395"/>
      <c r="F4" s="395" t="s">
        <v>673</v>
      </c>
      <c r="G4" s="395" t="s">
        <v>674</v>
      </c>
      <c r="H4" s="395"/>
      <c r="I4" s="395"/>
      <c r="J4" s="395"/>
      <c r="K4" s="395"/>
      <c r="L4" s="395"/>
      <c r="M4" s="395"/>
      <c r="N4" s="395"/>
      <c r="O4" s="395"/>
      <c r="P4" s="395"/>
      <c r="Q4" s="395"/>
      <c r="R4" s="395"/>
      <c r="S4" s="395"/>
      <c r="T4" s="395"/>
      <c r="U4" s="395"/>
    </row>
    <row r="5" spans="1:21" ht="15" x14ac:dyDescent="0.25">
      <c r="A5" s="395"/>
      <c r="B5" s="395"/>
      <c r="C5" s="395"/>
      <c r="D5" s="395"/>
      <c r="E5" s="395"/>
      <c r="F5" s="395"/>
      <c r="G5" s="446" t="s">
        <v>776</v>
      </c>
      <c r="H5" s="392" t="s">
        <v>676</v>
      </c>
      <c r="I5" s="649" t="s">
        <v>677</v>
      </c>
      <c r="J5" s="649">
        <v>0</v>
      </c>
      <c r="K5" s="649">
        <v>0</v>
      </c>
      <c r="L5" s="649">
        <v>0</v>
      </c>
      <c r="M5" s="395"/>
      <c r="N5" s="263"/>
      <c r="O5" s="263"/>
      <c r="P5" s="263"/>
      <c r="Q5" s="263"/>
      <c r="R5" s="263"/>
      <c r="S5" s="263"/>
      <c r="T5" s="263"/>
      <c r="U5" s="263"/>
    </row>
    <row r="6" spans="1:21" ht="15" x14ac:dyDescent="0.25">
      <c r="A6" s="395"/>
      <c r="B6" s="395"/>
      <c r="C6" s="395"/>
      <c r="D6" s="395"/>
      <c r="E6" s="395"/>
      <c r="F6" s="395"/>
      <c r="G6" s="3" t="s">
        <v>678</v>
      </c>
      <c r="H6" s="398" t="s">
        <v>679</v>
      </c>
      <c r="I6" s="392">
        <v>1</v>
      </c>
      <c r="J6" s="392">
        <v>2</v>
      </c>
      <c r="K6" s="392">
        <v>3</v>
      </c>
      <c r="L6" s="392">
        <v>4</v>
      </c>
      <c r="M6" s="395"/>
      <c r="N6" s="263"/>
      <c r="O6" s="263"/>
      <c r="P6" s="263"/>
      <c r="Q6" s="263"/>
      <c r="R6" s="263"/>
      <c r="S6" s="263"/>
      <c r="T6" s="263"/>
      <c r="U6" s="263"/>
    </row>
    <row r="7" spans="1:21" ht="15" x14ac:dyDescent="0.25">
      <c r="A7" s="395"/>
      <c r="B7" s="395"/>
      <c r="C7" s="395"/>
      <c r="D7" s="395"/>
      <c r="E7" s="395"/>
      <c r="F7" s="395"/>
      <c r="G7" s="3" t="s">
        <v>274</v>
      </c>
      <c r="H7" s="447">
        <v>21.765844218674406</v>
      </c>
      <c r="I7" s="447">
        <v>17.567972907595554</v>
      </c>
      <c r="J7" s="447">
        <v>14.588776003870343</v>
      </c>
      <c r="K7" s="448">
        <v>1.7924528301886791</v>
      </c>
      <c r="L7" s="448">
        <v>0.96637639090469274</v>
      </c>
      <c r="M7" s="395"/>
      <c r="N7" s="263"/>
      <c r="O7" s="263"/>
      <c r="P7" s="263"/>
      <c r="Q7" s="263"/>
      <c r="R7" s="263"/>
      <c r="S7" s="263"/>
      <c r="T7" s="263"/>
      <c r="U7" s="263"/>
    </row>
    <row r="8" spans="1:21" ht="15" x14ac:dyDescent="0.25">
      <c r="A8" s="395"/>
      <c r="B8" s="395"/>
      <c r="C8" s="395"/>
      <c r="D8" s="395"/>
      <c r="E8" s="395"/>
      <c r="F8" s="395"/>
      <c r="G8" s="3" t="s">
        <v>680</v>
      </c>
      <c r="H8" s="447">
        <v>4.0154813739719399</v>
      </c>
      <c r="I8" s="448">
        <v>2.2363328495403967</v>
      </c>
      <c r="J8" s="448">
        <v>2.2375423318819547</v>
      </c>
      <c r="K8" s="448">
        <v>2.2375423318819547</v>
      </c>
      <c r="L8" s="448">
        <v>2.2375423318819547</v>
      </c>
      <c r="M8" s="395"/>
      <c r="N8" s="263"/>
      <c r="O8" s="263"/>
      <c r="P8" s="263"/>
      <c r="Q8" s="263"/>
      <c r="R8" s="263"/>
      <c r="S8" s="263"/>
      <c r="T8" s="263"/>
      <c r="U8" s="263"/>
    </row>
    <row r="9" spans="1:21" ht="15" x14ac:dyDescent="0.25">
      <c r="A9" s="395"/>
      <c r="B9" s="415"/>
      <c r="C9" s="395"/>
      <c r="D9" s="395"/>
      <c r="E9" s="395"/>
      <c r="F9" s="395"/>
      <c r="G9" s="3" t="s">
        <v>275</v>
      </c>
      <c r="H9" s="448">
        <v>8.0865989356555392</v>
      </c>
      <c r="I9" s="448">
        <v>7.961490082244798</v>
      </c>
      <c r="J9" s="448">
        <v>7.4866956942428642</v>
      </c>
      <c r="K9" s="448">
        <v>3.0810468357638161</v>
      </c>
      <c r="L9" s="448">
        <v>3.3404329946782783</v>
      </c>
      <c r="M9" s="395"/>
      <c r="N9" s="263"/>
      <c r="O9" s="263"/>
      <c r="P9" s="263"/>
      <c r="Q9" s="263"/>
      <c r="R9" s="263"/>
      <c r="S9" s="263"/>
      <c r="T9" s="263"/>
      <c r="U9" s="263"/>
    </row>
    <row r="10" spans="1:21" ht="15" x14ac:dyDescent="0.25">
      <c r="A10" s="395"/>
      <c r="B10" s="415"/>
      <c r="C10" s="395"/>
      <c r="D10" s="395"/>
      <c r="E10" s="395"/>
      <c r="F10" s="395"/>
      <c r="G10" s="4" t="s">
        <v>682</v>
      </c>
      <c r="H10" s="448">
        <v>9.6540880503144653</v>
      </c>
      <c r="I10" s="448">
        <v>7.6959603289791954</v>
      </c>
      <c r="J10" s="448">
        <v>7.7951378809869363</v>
      </c>
      <c r="K10" s="448">
        <v>2.8870343492985002</v>
      </c>
      <c r="L10" s="448">
        <v>2.8265602322206096</v>
      </c>
      <c r="M10" s="395"/>
      <c r="N10" s="263"/>
      <c r="O10" s="263"/>
      <c r="P10" s="263"/>
      <c r="Q10" s="263"/>
      <c r="R10" s="263"/>
      <c r="S10" s="263"/>
      <c r="T10" s="263"/>
      <c r="U10" s="263"/>
    </row>
    <row r="11" spans="1:21" ht="15" x14ac:dyDescent="0.25">
      <c r="A11" s="395"/>
      <c r="B11" s="395"/>
      <c r="C11" s="395"/>
      <c r="D11" s="395"/>
      <c r="E11" s="395"/>
      <c r="F11" s="395"/>
      <c r="G11" s="3" t="s">
        <v>683</v>
      </c>
      <c r="H11" s="448">
        <v>22.721335268505079</v>
      </c>
      <c r="I11" s="448">
        <v>12.358490566037736</v>
      </c>
      <c r="J11" s="448">
        <v>12.358490566037739</v>
      </c>
      <c r="K11" s="448">
        <v>12.358490566037728</v>
      </c>
      <c r="L11" s="448">
        <v>12.35849056603773</v>
      </c>
      <c r="M11" s="395"/>
      <c r="N11" s="263"/>
      <c r="O11" s="263"/>
      <c r="P11" s="263"/>
      <c r="Q11" s="263"/>
      <c r="R11" s="263"/>
      <c r="S11" s="263"/>
      <c r="T11" s="263"/>
      <c r="U11" s="263"/>
    </row>
    <row r="12" spans="1:21" ht="15" x14ac:dyDescent="0.25">
      <c r="A12" s="395"/>
      <c r="B12" s="395"/>
      <c r="C12" s="395"/>
      <c r="D12" s="395"/>
      <c r="E12" s="395"/>
      <c r="F12" s="395"/>
      <c r="G12" s="3" t="s">
        <v>684</v>
      </c>
      <c r="H12" s="447">
        <v>0</v>
      </c>
      <c r="I12" s="447">
        <v>0</v>
      </c>
      <c r="J12" s="447">
        <v>0</v>
      </c>
      <c r="K12" s="447">
        <v>0</v>
      </c>
      <c r="L12" s="447">
        <v>0</v>
      </c>
      <c r="M12" s="395"/>
      <c r="N12" s="263"/>
      <c r="O12" s="263"/>
      <c r="P12" s="263"/>
      <c r="Q12" s="263"/>
      <c r="R12" s="263"/>
      <c r="S12" s="263"/>
      <c r="T12" s="263"/>
      <c r="U12" s="263"/>
    </row>
    <row r="13" spans="1:21" ht="15" x14ac:dyDescent="0.25">
      <c r="A13" s="395"/>
      <c r="B13" s="395"/>
      <c r="C13" s="395"/>
      <c r="D13" s="395"/>
      <c r="E13" s="395"/>
      <c r="F13" s="395"/>
      <c r="G13" s="398" t="s">
        <v>751</v>
      </c>
      <c r="H13" s="447">
        <v>25.781325592646347</v>
      </c>
      <c r="I13" s="447">
        <v>19.80430575713595</v>
      </c>
      <c r="J13" s="447">
        <v>16.826318335752298</v>
      </c>
      <c r="K13" s="447">
        <v>4.0299951620706338</v>
      </c>
      <c r="L13" s="447">
        <v>3.2039187227866472</v>
      </c>
      <c r="M13" s="395"/>
      <c r="N13" s="263"/>
      <c r="O13" s="263"/>
      <c r="P13" s="263"/>
      <c r="Q13" s="263"/>
      <c r="R13" s="263"/>
      <c r="S13" s="263"/>
      <c r="T13" s="263"/>
      <c r="U13" s="263"/>
    </row>
    <row r="14" spans="1:21" ht="15" x14ac:dyDescent="0.25">
      <c r="A14" s="395"/>
      <c r="B14" s="395"/>
      <c r="C14" s="395"/>
      <c r="D14" s="395"/>
      <c r="E14" s="395"/>
      <c r="F14" s="395"/>
      <c r="G14" s="398" t="s">
        <v>474</v>
      </c>
      <c r="H14" s="448">
        <v>40.46202225447508</v>
      </c>
      <c r="I14" s="448">
        <v>30.252273826802124</v>
      </c>
      <c r="J14" s="448">
        <v>29.877866473149492</v>
      </c>
      <c r="K14" s="448">
        <v>22.356566913170678</v>
      </c>
      <c r="L14" s="448">
        <v>21.729402515723265</v>
      </c>
      <c r="M14" s="395"/>
      <c r="N14" s="263"/>
      <c r="O14" s="263"/>
      <c r="P14" s="263"/>
      <c r="Q14" s="263"/>
      <c r="R14" s="263"/>
      <c r="S14" s="263"/>
      <c r="T14" s="263"/>
      <c r="U14" s="263"/>
    </row>
    <row r="15" spans="1:21" ht="15" x14ac:dyDescent="0.25">
      <c r="A15" s="395"/>
      <c r="B15" s="395"/>
      <c r="C15" s="395"/>
      <c r="D15" s="395"/>
      <c r="E15" s="395"/>
      <c r="F15" s="395"/>
      <c r="G15" s="398" t="s">
        <v>475</v>
      </c>
      <c r="H15" s="449">
        <v>66.243347847121427</v>
      </c>
      <c r="I15" s="449">
        <v>50.056579583938074</v>
      </c>
      <c r="J15" s="449">
        <v>46.704184808901786</v>
      </c>
      <c r="K15" s="449">
        <v>26.386562075241311</v>
      </c>
      <c r="L15" s="449">
        <v>24.933321238509912</v>
      </c>
      <c r="M15" s="395"/>
      <c r="N15" s="263" t="s">
        <v>1525</v>
      </c>
      <c r="O15" s="395"/>
      <c r="P15" s="395"/>
      <c r="Q15" s="263"/>
      <c r="R15" s="263"/>
      <c r="S15" s="263"/>
      <c r="T15" s="263"/>
      <c r="U15" s="263"/>
    </row>
    <row r="16" spans="1:21" ht="15" x14ac:dyDescent="0.25">
      <c r="A16" s="395"/>
      <c r="B16" s="395"/>
      <c r="C16" s="395"/>
      <c r="D16" s="395"/>
      <c r="E16" s="395"/>
      <c r="F16" s="395"/>
      <c r="G16" s="395"/>
      <c r="H16" s="395"/>
      <c r="I16" s="395"/>
      <c r="J16" s="395"/>
      <c r="K16" s="395"/>
      <c r="L16" s="395"/>
      <c r="M16" s="591" t="s">
        <v>1526</v>
      </c>
      <c r="N16" s="264">
        <f>'Core City Stats'!T81</f>
        <v>2.5848953041318552</v>
      </c>
      <c r="O16" s="395"/>
      <c r="P16" s="395"/>
      <c r="Q16" s="263"/>
      <c r="R16" s="263"/>
      <c r="S16" s="263"/>
      <c r="T16" s="263"/>
      <c r="U16" s="263"/>
    </row>
    <row r="17" spans="1:29" x14ac:dyDescent="0.2">
      <c r="M17" s="591" t="s">
        <v>703</v>
      </c>
      <c r="N17" s="590">
        <f>'Core City Stats'!U81</f>
        <v>49.11301077850537</v>
      </c>
    </row>
    <row r="18" spans="1:29" x14ac:dyDescent="0.2">
      <c r="A18" s="395"/>
      <c r="B18" s="395"/>
      <c r="C18" s="395"/>
      <c r="D18" s="395"/>
      <c r="E18" s="395"/>
      <c r="F18" s="395" t="s">
        <v>691</v>
      </c>
      <c r="G18" s="395"/>
      <c r="H18" s="395"/>
      <c r="I18" s="395"/>
      <c r="J18" s="395"/>
      <c r="K18" s="395"/>
      <c r="L18" s="395"/>
      <c r="M18" s="395"/>
      <c r="N18" s="395"/>
      <c r="O18" s="395"/>
      <c r="P18" s="395"/>
      <c r="Q18" s="395"/>
      <c r="R18" s="395"/>
      <c r="S18" s="395"/>
      <c r="T18" s="395"/>
      <c r="U18" s="395"/>
      <c r="V18" s="395"/>
      <c r="W18" s="395"/>
      <c r="X18" s="395"/>
      <c r="Y18" s="395"/>
      <c r="Z18" s="395"/>
      <c r="AA18" s="395"/>
      <c r="AB18" s="395"/>
      <c r="AC18" s="395"/>
    </row>
    <row r="19" spans="1:29" ht="12.75" customHeight="1" x14ac:dyDescent="0.2">
      <c r="A19" s="395"/>
      <c r="B19" s="395"/>
      <c r="C19" s="395"/>
      <c r="D19" s="395"/>
      <c r="E19" s="395"/>
      <c r="F19" s="395"/>
      <c r="G19" s="5" t="s">
        <v>692</v>
      </c>
      <c r="H19" s="183" t="s">
        <v>409</v>
      </c>
      <c r="I19" s="183" t="s">
        <v>409</v>
      </c>
      <c r="J19" s="183" t="s">
        <v>409</v>
      </c>
      <c r="K19" s="183" t="s">
        <v>409</v>
      </c>
      <c r="L19" s="395"/>
      <c r="M19" s="5" t="s">
        <v>692</v>
      </c>
      <c r="N19" s="262" t="s">
        <v>418</v>
      </c>
      <c r="O19" s="262" t="s">
        <v>418</v>
      </c>
      <c r="P19" s="262" t="s">
        <v>418</v>
      </c>
      <c r="Q19" s="262" t="s">
        <v>418</v>
      </c>
      <c r="R19" s="395"/>
      <c r="S19" s="5" t="s">
        <v>692</v>
      </c>
      <c r="T19" s="261" t="s">
        <v>405</v>
      </c>
      <c r="U19" s="261" t="s">
        <v>405</v>
      </c>
      <c r="V19" s="261" t="s">
        <v>405</v>
      </c>
      <c r="W19" s="261" t="s">
        <v>405</v>
      </c>
      <c r="X19" s="395"/>
      <c r="Y19" s="5" t="s">
        <v>692</v>
      </c>
      <c r="Z19" s="261" t="s">
        <v>693</v>
      </c>
      <c r="AA19" s="261" t="s">
        <v>693</v>
      </c>
      <c r="AB19" s="261" t="s">
        <v>693</v>
      </c>
      <c r="AC19" s="261" t="s">
        <v>693</v>
      </c>
    </row>
    <row r="20" spans="1:29" ht="25.5" x14ac:dyDescent="0.2">
      <c r="A20" s="395"/>
      <c r="B20" s="395"/>
      <c r="C20" s="395"/>
      <c r="D20" s="395"/>
      <c r="E20" s="395"/>
      <c r="F20" s="395"/>
      <c r="G20" s="5" t="s">
        <v>694</v>
      </c>
      <c r="H20" s="183"/>
      <c r="I20" s="12" t="s">
        <v>695</v>
      </c>
      <c r="J20" s="12" t="s">
        <v>696</v>
      </c>
      <c r="K20" s="13" t="s">
        <v>697</v>
      </c>
      <c r="L20" s="395"/>
      <c r="M20" s="5" t="s">
        <v>694</v>
      </c>
      <c r="N20" s="195"/>
      <c r="O20" s="12" t="s">
        <v>698</v>
      </c>
      <c r="P20" s="12" t="s">
        <v>696</v>
      </c>
      <c r="Q20" s="13" t="s">
        <v>697</v>
      </c>
      <c r="R20" s="395"/>
      <c r="S20" s="5" t="s">
        <v>694</v>
      </c>
      <c r="T20" s="185"/>
      <c r="U20" s="12" t="s">
        <v>698</v>
      </c>
      <c r="V20" s="12" t="s">
        <v>696</v>
      </c>
      <c r="W20" s="13" t="s">
        <v>697</v>
      </c>
      <c r="X20" s="395"/>
      <c r="Y20" s="5" t="s">
        <v>694</v>
      </c>
      <c r="Z20" s="185"/>
      <c r="AA20" s="12" t="s">
        <v>698</v>
      </c>
      <c r="AB20" s="12" t="s">
        <v>696</v>
      </c>
      <c r="AC20" s="13" t="s">
        <v>697</v>
      </c>
    </row>
    <row r="21" spans="1:29" ht="25.5" x14ac:dyDescent="0.2">
      <c r="A21" s="395"/>
      <c r="B21" s="395"/>
      <c r="C21" s="395"/>
      <c r="D21" s="395"/>
      <c r="E21" s="395"/>
      <c r="F21" s="395"/>
      <c r="G21" s="6" t="s">
        <v>699</v>
      </c>
      <c r="H21" s="6" t="s">
        <v>700</v>
      </c>
      <c r="I21" s="6">
        <v>1</v>
      </c>
      <c r="J21" s="6">
        <v>2</v>
      </c>
      <c r="K21" s="6">
        <v>3</v>
      </c>
      <c r="L21" s="395"/>
      <c r="M21" s="6" t="s">
        <v>699</v>
      </c>
      <c r="N21" s="6" t="s">
        <v>700</v>
      </c>
      <c r="O21" s="6">
        <v>1</v>
      </c>
      <c r="P21" s="6">
        <v>2</v>
      </c>
      <c r="Q21" s="6">
        <v>3</v>
      </c>
      <c r="R21" s="395"/>
      <c r="S21" s="6" t="s">
        <v>699</v>
      </c>
      <c r="T21" s="6" t="s">
        <v>700</v>
      </c>
      <c r="U21" s="6">
        <v>1</v>
      </c>
      <c r="V21" s="6">
        <v>2</v>
      </c>
      <c r="W21" s="6">
        <v>3</v>
      </c>
      <c r="X21" s="395"/>
      <c r="Y21" s="6" t="s">
        <v>699</v>
      </c>
      <c r="Z21" s="6" t="s">
        <v>700</v>
      </c>
      <c r="AA21" s="6">
        <v>1</v>
      </c>
      <c r="AB21" s="6">
        <v>2</v>
      </c>
      <c r="AC21" s="6">
        <v>3</v>
      </c>
    </row>
    <row r="22" spans="1:29" x14ac:dyDescent="0.2">
      <c r="A22" s="395"/>
      <c r="B22" s="395"/>
      <c r="C22" s="395"/>
      <c r="D22" s="395"/>
      <c r="E22" s="395"/>
      <c r="F22" s="395"/>
      <c r="G22" s="6" t="s">
        <v>274</v>
      </c>
      <c r="H22" s="9">
        <f t="shared" ref="H22:I24" si="0">H7</f>
        <v>21.765844218674406</v>
      </c>
      <c r="I22" s="9">
        <f t="shared" si="0"/>
        <v>17.567972907595554</v>
      </c>
      <c r="J22" s="187">
        <f>I22*'Electrification of Gas End Uses'!$D$4</f>
        <v>5.6217513304305768</v>
      </c>
      <c r="K22" s="187" t="e">
        <f>#REF!*(1+#REF!)/'Electrification of Gas End Uses'!D12</f>
        <v>#REF!</v>
      </c>
      <c r="L22" s="395"/>
      <c r="M22" s="6" t="s">
        <v>274</v>
      </c>
      <c r="N22" s="17">
        <v>10</v>
      </c>
      <c r="O22" s="9" t="e">
        <f>N22*(1-#REF!)</f>
        <v>#REF!</v>
      </c>
      <c r="P22" s="187" t="e">
        <f>O22*'Electrification of Gas End Uses'!$D$4</f>
        <v>#REF!</v>
      </c>
      <c r="Q22" s="11" t="e">
        <f>K22/J22*P22</f>
        <v>#REF!</v>
      </c>
      <c r="R22" s="395"/>
      <c r="S22" s="6" t="s">
        <v>274</v>
      </c>
      <c r="T22" s="17">
        <v>10</v>
      </c>
      <c r="U22" s="9" t="e">
        <f>O22/N22*T22</f>
        <v>#REF!</v>
      </c>
      <c r="V22" s="187" t="e">
        <f>U22*'Electrification of Gas End Uses'!$D$4</f>
        <v>#REF!</v>
      </c>
      <c r="W22" s="11" t="e">
        <f>Q22/P22*V22</f>
        <v>#REF!</v>
      </c>
      <c r="X22" s="395"/>
      <c r="Y22" s="6" t="s">
        <v>274</v>
      </c>
      <c r="Z22" s="17">
        <v>10</v>
      </c>
      <c r="AA22" s="9" t="e">
        <f>U22/T22*Z22</f>
        <v>#REF!</v>
      </c>
      <c r="AB22" s="187" t="e">
        <f>AA22*'Electrification of Gas End Uses'!$D$4</f>
        <v>#REF!</v>
      </c>
      <c r="AC22" s="11" t="e">
        <f>W22/V22*AB22</f>
        <v>#REF!</v>
      </c>
    </row>
    <row r="23" spans="1:29" x14ac:dyDescent="0.2">
      <c r="A23" s="395"/>
      <c r="B23" s="395"/>
      <c r="C23" s="395"/>
      <c r="D23" s="395"/>
      <c r="E23" s="395"/>
      <c r="F23" s="129"/>
      <c r="G23" s="6" t="s">
        <v>680</v>
      </c>
      <c r="H23" s="9">
        <f>SUM('Prev Seattle Targets ref'!G41:G45)</f>
        <v>2.5977596155329672</v>
      </c>
      <c r="I23" s="11">
        <f t="shared" si="0"/>
        <v>2.2363328495403967</v>
      </c>
      <c r="J23" s="11">
        <f>I23*'Electrification of Gas End Uses'!$E$4</f>
        <v>0.91486343844834406</v>
      </c>
      <c r="K23" s="11">
        <f>J23</f>
        <v>0.91486343844834406</v>
      </c>
      <c r="L23" s="395"/>
      <c r="M23" s="6" t="s">
        <v>680</v>
      </c>
      <c r="N23" s="9">
        <f>$H23</f>
        <v>2.5977596155329672</v>
      </c>
      <c r="O23" s="9">
        <f>N23*0.8</f>
        <v>2.0782076924263739</v>
      </c>
      <c r="P23" s="11">
        <f>O23*'Electrification of Gas End Uses'!$E$4</f>
        <v>0.85017587417442564</v>
      </c>
      <c r="Q23" s="11">
        <f>$K23</f>
        <v>0.91486343844834406</v>
      </c>
      <c r="R23" s="395"/>
      <c r="S23" s="6" t="s">
        <v>680</v>
      </c>
      <c r="T23" s="9">
        <f>$H23</f>
        <v>2.5977596155329672</v>
      </c>
      <c r="U23" s="9">
        <f>T23*0.8</f>
        <v>2.0782076924263739</v>
      </c>
      <c r="V23" s="11">
        <f>U23*'Electrification of Gas End Uses'!$E$4</f>
        <v>0.85017587417442564</v>
      </c>
      <c r="W23" s="11">
        <f>$K23</f>
        <v>0.91486343844834406</v>
      </c>
      <c r="X23" s="395"/>
      <c r="Y23" s="6" t="s">
        <v>680</v>
      </c>
      <c r="Z23" s="9">
        <f>$H23</f>
        <v>2.5977596155329672</v>
      </c>
      <c r="AA23" s="9">
        <f>Z23*0.8</f>
        <v>2.0782076924263739</v>
      </c>
      <c r="AB23" s="11">
        <f>AA23*'Electrification of Gas End Uses'!$E$4</f>
        <v>0.85017587417442564</v>
      </c>
      <c r="AC23" s="11">
        <f>$K23</f>
        <v>0.91486343844834406</v>
      </c>
    </row>
    <row r="24" spans="1:29" x14ac:dyDescent="0.2">
      <c r="A24" s="395"/>
      <c r="B24" s="395"/>
      <c r="C24" s="395"/>
      <c r="D24" s="395"/>
      <c r="E24" s="395"/>
      <c r="F24" s="395"/>
      <c r="G24" s="6" t="s">
        <v>275</v>
      </c>
      <c r="H24" s="11">
        <f t="shared" si="0"/>
        <v>8.0865989356555392</v>
      </c>
      <c r="I24" s="11">
        <f t="shared" si="0"/>
        <v>7.961490082244798</v>
      </c>
      <c r="J24" s="260">
        <f>I24*(1-0.3)</f>
        <v>5.5730430575713585</v>
      </c>
      <c r="K24" s="8" t="e">
        <f>#REF!*(1+#REF!)/'Electrification of Gas End Uses'!D12</f>
        <v>#REF!</v>
      </c>
      <c r="L24" s="395"/>
      <c r="M24" s="6" t="s">
        <v>275</v>
      </c>
      <c r="N24" s="18">
        <v>8</v>
      </c>
      <c r="O24" s="11">
        <f t="shared" ref="O24:Q26" si="1">I24</f>
        <v>7.961490082244798</v>
      </c>
      <c r="P24" s="260">
        <f t="shared" si="1"/>
        <v>5.5730430575713585</v>
      </c>
      <c r="Q24" s="260" t="e">
        <f t="shared" si="1"/>
        <v>#REF!</v>
      </c>
      <c r="R24" s="395"/>
      <c r="S24" s="6" t="s">
        <v>275</v>
      </c>
      <c r="T24" s="18">
        <v>18</v>
      </c>
      <c r="U24" s="11">
        <f>O24/N24*T24</f>
        <v>17.913352685050796</v>
      </c>
      <c r="V24" s="260">
        <f>P24/O24*U24</f>
        <v>12.539346879535557</v>
      </c>
      <c r="W24" s="260" t="e">
        <f>Q24/P24*V24</f>
        <v>#REF!</v>
      </c>
      <c r="X24" s="395"/>
      <c r="Y24" s="6" t="s">
        <v>275</v>
      </c>
      <c r="Z24" s="18">
        <v>18</v>
      </c>
      <c r="AA24" s="11">
        <f>$I24</f>
        <v>7.961490082244798</v>
      </c>
      <c r="AB24" s="11">
        <f>$J24</f>
        <v>5.5730430575713585</v>
      </c>
      <c r="AC24" s="11" t="e">
        <f>$K24</f>
        <v>#REF!</v>
      </c>
    </row>
    <row r="25" spans="1:29" x14ac:dyDescent="0.2">
      <c r="A25" s="395"/>
      <c r="B25" s="395"/>
      <c r="C25" s="395"/>
      <c r="D25" s="395"/>
      <c r="E25" s="395"/>
      <c r="F25" s="129"/>
      <c r="G25" s="6" t="s">
        <v>701</v>
      </c>
      <c r="H25" s="11" t="e">
        <f>-H24+#REF!</f>
        <v>#REF!</v>
      </c>
      <c r="I25" s="11">
        <f>I10+I11</f>
        <v>20.054450895016931</v>
      </c>
      <c r="J25" s="11">
        <f>K10+K11</f>
        <v>15.24552491533623</v>
      </c>
      <c r="K25" s="11">
        <f>L10+L11</f>
        <v>15.18505079825834</v>
      </c>
      <c r="L25" s="395"/>
      <c r="M25" s="6" t="s">
        <v>701</v>
      </c>
      <c r="N25" s="11">
        <f>Seattle!D21-Office!N24</f>
        <v>33.043944313099523</v>
      </c>
      <c r="O25" s="11">
        <f t="shared" si="1"/>
        <v>20.054450895016931</v>
      </c>
      <c r="P25" s="11">
        <f t="shared" si="1"/>
        <v>15.24552491533623</v>
      </c>
      <c r="Q25" s="11">
        <f t="shared" si="1"/>
        <v>15.18505079825834</v>
      </c>
      <c r="R25" s="395"/>
      <c r="S25" s="6" t="s">
        <v>701</v>
      </c>
      <c r="T25" s="11">
        <v>12</v>
      </c>
      <c r="U25" s="11">
        <f t="shared" ref="U25:W26" si="2">O25</f>
        <v>20.054450895016931</v>
      </c>
      <c r="V25" s="11">
        <f t="shared" si="2"/>
        <v>15.24552491533623</v>
      </c>
      <c r="W25" s="11">
        <f t="shared" si="2"/>
        <v>15.18505079825834</v>
      </c>
      <c r="X25" s="395"/>
      <c r="Y25" s="6" t="s">
        <v>701</v>
      </c>
      <c r="Z25" s="11">
        <v>12</v>
      </c>
      <c r="AA25" s="11">
        <f t="shared" ref="AA25:AC26" si="3">U25</f>
        <v>20.054450895016931</v>
      </c>
      <c r="AB25" s="11">
        <f t="shared" si="3"/>
        <v>15.24552491533623</v>
      </c>
      <c r="AC25" s="11">
        <f t="shared" si="3"/>
        <v>15.18505079825834</v>
      </c>
    </row>
    <row r="26" spans="1:29" x14ac:dyDescent="0.2">
      <c r="A26" s="395"/>
      <c r="B26" s="395"/>
      <c r="C26" s="395"/>
      <c r="D26" s="395"/>
      <c r="E26" s="395"/>
      <c r="F26" s="395"/>
      <c r="G26" s="7" t="s">
        <v>526</v>
      </c>
      <c r="H26" s="9">
        <f>H12</f>
        <v>0</v>
      </c>
      <c r="I26" s="9">
        <f>H26</f>
        <v>0</v>
      </c>
      <c r="J26" s="9">
        <f>I26*'Electrification of Gas End Uses'!F4</f>
        <v>0</v>
      </c>
      <c r="K26" s="9">
        <f>J26</f>
        <v>0</v>
      </c>
      <c r="L26" s="395"/>
      <c r="M26" s="7" t="s">
        <v>526</v>
      </c>
      <c r="N26" s="9">
        <f>H26</f>
        <v>0</v>
      </c>
      <c r="O26" s="9">
        <f t="shared" si="1"/>
        <v>0</v>
      </c>
      <c r="P26" s="9">
        <f t="shared" si="1"/>
        <v>0</v>
      </c>
      <c r="Q26" s="9">
        <f t="shared" si="1"/>
        <v>0</v>
      </c>
      <c r="R26" s="395"/>
      <c r="S26" s="7" t="s">
        <v>526</v>
      </c>
      <c r="T26" s="9">
        <f>N26</f>
        <v>0</v>
      </c>
      <c r="U26" s="9">
        <f t="shared" si="2"/>
        <v>0</v>
      </c>
      <c r="V26" s="9">
        <f t="shared" si="2"/>
        <v>0</v>
      </c>
      <c r="W26" s="9">
        <f t="shared" si="2"/>
        <v>0</v>
      </c>
      <c r="X26" s="395"/>
      <c r="Y26" s="7" t="s">
        <v>526</v>
      </c>
      <c r="Z26" s="9">
        <f>T26</f>
        <v>0</v>
      </c>
      <c r="AA26" s="9">
        <f t="shared" si="3"/>
        <v>0</v>
      </c>
      <c r="AB26" s="9">
        <f t="shared" si="3"/>
        <v>0</v>
      </c>
      <c r="AC26" s="9">
        <f t="shared" si="3"/>
        <v>0</v>
      </c>
    </row>
    <row r="27" spans="1:29" x14ac:dyDescent="0.2">
      <c r="A27" s="395"/>
      <c r="B27" s="395"/>
      <c r="C27" s="395"/>
      <c r="D27" s="395"/>
      <c r="E27" s="395"/>
      <c r="F27" s="395"/>
      <c r="G27" s="7" t="s">
        <v>702</v>
      </c>
      <c r="H27" s="9">
        <f>SUM(H26,H22:H23)</f>
        <v>24.363603834207375</v>
      </c>
      <c r="I27" s="9">
        <f>SUM(I26,I22)</f>
        <v>17.567972907595554</v>
      </c>
      <c r="J27" s="9">
        <v>0</v>
      </c>
      <c r="K27" s="9">
        <v>0</v>
      </c>
      <c r="L27" s="395"/>
      <c r="M27" s="7" t="s">
        <v>702</v>
      </c>
      <c r="N27" s="9">
        <f>SUM(N26,N22:N23)</f>
        <v>12.597759615532967</v>
      </c>
      <c r="O27" s="9" t="e">
        <f>SUM(O26,O22)</f>
        <v>#REF!</v>
      </c>
      <c r="P27" s="9">
        <v>0</v>
      </c>
      <c r="Q27" s="9">
        <v>0</v>
      </c>
      <c r="R27" s="395"/>
      <c r="S27" s="7" t="s">
        <v>702</v>
      </c>
      <c r="T27" s="9">
        <f>SUM(T26,T22:T23)</f>
        <v>12.597759615532967</v>
      </c>
      <c r="U27" s="9" t="e">
        <f>SUM(U26,U22)</f>
        <v>#REF!</v>
      </c>
      <c r="V27" s="9">
        <v>0</v>
      </c>
      <c r="W27" s="9">
        <v>0</v>
      </c>
      <c r="X27" s="395"/>
      <c r="Y27" s="7" t="s">
        <v>702</v>
      </c>
      <c r="Z27" s="9">
        <f>SUM(Z26,Z22:Z23)</f>
        <v>12.597759615532967</v>
      </c>
      <c r="AA27" s="9" t="e">
        <f>SUM(AA26,AA22)</f>
        <v>#REF!</v>
      </c>
      <c r="AB27" s="9">
        <v>0</v>
      </c>
      <c r="AC27" s="9">
        <v>0</v>
      </c>
    </row>
    <row r="28" spans="1:29" x14ac:dyDescent="0.2">
      <c r="A28" s="395"/>
      <c r="B28" s="395"/>
      <c r="C28" s="395"/>
      <c r="D28" s="395"/>
      <c r="E28" s="395"/>
      <c r="F28" s="395"/>
      <c r="G28" s="8" t="s">
        <v>703</v>
      </c>
      <c r="H28" s="11" t="e">
        <f>SUM(H24:H25)</f>
        <v>#REF!</v>
      </c>
      <c r="I28" s="11">
        <f>SUM(I23:I25)</f>
        <v>30.252273826802124</v>
      </c>
      <c r="J28" s="11">
        <f>SUM(J22:J26)</f>
        <v>27.355182741786507</v>
      </c>
      <c r="K28" s="11" t="e">
        <f>SUM(K22:K26)</f>
        <v>#REF!</v>
      </c>
      <c r="L28" s="395"/>
      <c r="M28" s="8" t="s">
        <v>703</v>
      </c>
      <c r="N28" s="11">
        <f>SUM(N24:N25)</f>
        <v>41.043944313099523</v>
      </c>
      <c r="O28" s="11">
        <f>SUM(O23:O25)</f>
        <v>30.094148669688103</v>
      </c>
      <c r="P28" s="11" t="e">
        <f>SUM(P22:P26)</f>
        <v>#REF!</v>
      </c>
      <c r="Q28" s="11" t="e">
        <f>SUM(Q22:Q26)</f>
        <v>#REF!</v>
      </c>
      <c r="R28" s="395"/>
      <c r="S28" s="8" t="s">
        <v>703</v>
      </c>
      <c r="T28" s="11">
        <f>SUM(T24:T25)</f>
        <v>30</v>
      </c>
      <c r="U28" s="11">
        <f>SUM(U23:U25)</f>
        <v>40.046011272494098</v>
      </c>
      <c r="V28" s="11" t="e">
        <f>SUM(V22:V26)</f>
        <v>#REF!</v>
      </c>
      <c r="W28" s="11" t="e">
        <f>SUM(W22:W26)</f>
        <v>#REF!</v>
      </c>
      <c r="X28" s="395"/>
      <c r="Y28" s="8" t="s">
        <v>703</v>
      </c>
      <c r="Z28" s="11">
        <f>SUM(Z24:Z25)</f>
        <v>30</v>
      </c>
      <c r="AA28" s="11">
        <f>SUM(AA23:AA25)</f>
        <v>30.094148669688103</v>
      </c>
      <c r="AB28" s="11" t="e">
        <f>SUM(AB22:AB26)</f>
        <v>#REF!</v>
      </c>
      <c r="AC28" s="11" t="e">
        <f>SUM(AC22:AC26)</f>
        <v>#REF!</v>
      </c>
    </row>
    <row r="29" spans="1:29" x14ac:dyDescent="0.2">
      <c r="A29" s="395"/>
      <c r="B29" s="395"/>
      <c r="C29" s="395"/>
      <c r="D29" s="395"/>
      <c r="E29" s="395"/>
      <c r="F29" s="395"/>
      <c r="G29" s="5" t="s">
        <v>690</v>
      </c>
      <c r="H29" s="14" t="e">
        <f>H27+H28</f>
        <v>#REF!</v>
      </c>
      <c r="I29" s="14">
        <f>I27+I28</f>
        <v>47.820246734397678</v>
      </c>
      <c r="J29" s="14">
        <f>J27+J28</f>
        <v>27.355182741786507</v>
      </c>
      <c r="K29" s="14" t="e">
        <f>K27+K28</f>
        <v>#REF!</v>
      </c>
      <c r="L29" s="395"/>
      <c r="M29" s="5" t="s">
        <v>690</v>
      </c>
      <c r="N29" s="14">
        <f>N27+N28</f>
        <v>53.641703928632488</v>
      </c>
      <c r="O29" s="14" t="e">
        <f>O27+O28</f>
        <v>#REF!</v>
      </c>
      <c r="P29" s="14" t="e">
        <f>P27+P28</f>
        <v>#REF!</v>
      </c>
      <c r="Q29" s="14" t="e">
        <f>Q27+Q28</f>
        <v>#REF!</v>
      </c>
      <c r="R29" s="395"/>
      <c r="S29" s="5" t="s">
        <v>690</v>
      </c>
      <c r="T29" s="14">
        <f>T27+T28</f>
        <v>42.597759615532965</v>
      </c>
      <c r="U29" s="14" t="e">
        <f>U27+U28</f>
        <v>#REF!</v>
      </c>
      <c r="V29" s="14" t="e">
        <f>V27+V28</f>
        <v>#REF!</v>
      </c>
      <c r="W29" s="14" t="e">
        <f>W27+W28</f>
        <v>#REF!</v>
      </c>
      <c r="X29" s="395"/>
      <c r="Y29" s="5" t="s">
        <v>690</v>
      </c>
      <c r="Z29" s="14">
        <f>Z27+Z28</f>
        <v>42.597759615532965</v>
      </c>
      <c r="AA29" s="14" t="e">
        <f>AA27+AA28</f>
        <v>#REF!</v>
      </c>
      <c r="AB29" s="14" t="e">
        <f>AB27+AB28</f>
        <v>#REF!</v>
      </c>
      <c r="AC29" s="14" t="e">
        <f>AC27+AC28</f>
        <v>#REF!</v>
      </c>
    </row>
    <row r="30" spans="1:29" ht="15" x14ac:dyDescent="0.25">
      <c r="A30" s="395"/>
      <c r="B30" s="395"/>
      <c r="C30" s="395"/>
      <c r="D30" s="395"/>
      <c r="E30" s="395"/>
      <c r="F30" s="395"/>
      <c r="G30" s="395"/>
      <c r="H30" s="194"/>
      <c r="I30" s="395"/>
      <c r="J30" s="395"/>
      <c r="K30" s="395"/>
      <c r="L30" s="395"/>
      <c r="M30" s="395" t="s">
        <v>706</v>
      </c>
      <c r="N30" s="263"/>
      <c r="O30" s="395"/>
      <c r="P30" s="395"/>
      <c r="Q30" s="395"/>
      <c r="R30" s="395"/>
      <c r="S30" s="395"/>
      <c r="T30" s="395"/>
      <c r="U30" s="395"/>
      <c r="V30" s="395"/>
      <c r="W30" s="395"/>
      <c r="X30" s="395"/>
      <c r="Y30" s="395"/>
      <c r="Z30" s="395"/>
      <c r="AA30" s="395"/>
      <c r="AB30" s="395"/>
      <c r="AC30" s="395"/>
    </row>
    <row r="31" spans="1:29" ht="15" x14ac:dyDescent="0.25">
      <c r="A31" s="395"/>
      <c r="B31" s="395"/>
      <c r="C31" s="395"/>
      <c r="D31" s="395"/>
      <c r="E31" s="395"/>
      <c r="F31" s="395"/>
      <c r="G31" s="395"/>
      <c r="H31" s="395"/>
      <c r="I31" s="395"/>
      <c r="J31" s="395"/>
      <c r="K31" s="395"/>
      <c r="L31" s="395"/>
      <c r="M31" s="24" t="s">
        <v>425</v>
      </c>
      <c r="N31" s="24"/>
      <c r="O31" s="395"/>
      <c r="P31" s="24">
        <f>'Prev Seattle Targets ref'!B11</f>
        <v>25</v>
      </c>
      <c r="Q31" s="395"/>
      <c r="R31" s="395"/>
      <c r="S31" s="395"/>
      <c r="T31" s="395"/>
      <c r="U31" s="395"/>
      <c r="V31" s="395"/>
      <c r="W31" s="395"/>
      <c r="X31" s="395"/>
      <c r="Y31" s="395"/>
      <c r="Z31" s="395"/>
      <c r="AA31" s="395"/>
      <c r="AB31" s="395"/>
      <c r="AC31" s="395"/>
    </row>
    <row r="32" spans="1:29" x14ac:dyDescent="0.2">
      <c r="A32" s="395"/>
      <c r="B32" s="395"/>
      <c r="C32" s="395"/>
      <c r="D32" s="395"/>
      <c r="E32" s="395"/>
      <c r="F32" s="395"/>
      <c r="G32" s="395"/>
      <c r="H32" s="395"/>
      <c r="I32" s="395"/>
      <c r="J32" s="395"/>
      <c r="K32" s="395"/>
      <c r="L32" s="395"/>
      <c r="M32" s="444" t="s">
        <v>777</v>
      </c>
      <c r="N32" s="444"/>
      <c r="O32" s="406">
        <f>'Prev Seattle Targets ref'!G36</f>
        <v>10.016397202893</v>
      </c>
      <c r="P32" s="395"/>
      <c r="Q32" s="395"/>
      <c r="R32" s="395"/>
      <c r="S32" s="395"/>
      <c r="T32" s="395"/>
      <c r="U32" s="395"/>
      <c r="V32" s="395"/>
      <c r="W32" s="395"/>
      <c r="X32" s="395"/>
      <c r="Y32" s="395"/>
      <c r="Z32" s="395"/>
      <c r="AA32" s="395"/>
      <c r="AB32" s="395"/>
      <c r="AC32" s="395"/>
    </row>
    <row r="33" spans="1:29" x14ac:dyDescent="0.2">
      <c r="A33" s="395"/>
      <c r="B33" s="395"/>
      <c r="C33" s="395"/>
      <c r="D33" s="395"/>
      <c r="E33" s="395"/>
      <c r="F33" s="395"/>
      <c r="G33" s="395"/>
      <c r="H33" s="395"/>
      <c r="I33" s="395"/>
      <c r="J33" s="395"/>
      <c r="K33" s="395"/>
      <c r="L33" s="395"/>
      <c r="M33" s="395" t="s">
        <v>778</v>
      </c>
      <c r="N33" s="395"/>
      <c r="O33" s="395"/>
      <c r="P33" s="395"/>
      <c r="Q33" s="395"/>
      <c r="R33" s="395"/>
      <c r="S33" s="395"/>
      <c r="T33" s="395"/>
      <c r="U33" s="395"/>
      <c r="V33" s="395"/>
      <c r="W33" s="395"/>
      <c r="X33" s="395"/>
      <c r="Y33" s="395"/>
      <c r="Z33" s="395"/>
      <c r="AA33" s="395"/>
      <c r="AB33" s="395"/>
      <c r="AC33" s="395"/>
    </row>
    <row r="34" spans="1:29" ht="13.5" thickBot="1" x14ac:dyDescent="0.25">
      <c r="A34" s="395"/>
      <c r="B34" s="395"/>
      <c r="C34" s="395"/>
      <c r="D34" s="395"/>
      <c r="E34" s="395"/>
      <c r="F34" s="395"/>
      <c r="G34" s="395" t="s">
        <v>409</v>
      </c>
      <c r="H34" s="395"/>
      <c r="I34" s="395"/>
      <c r="J34" s="395"/>
      <c r="K34" s="395"/>
      <c r="L34" s="395"/>
      <c r="M34" s="395" t="s">
        <v>418</v>
      </c>
      <c r="N34" s="395"/>
      <c r="O34" s="395"/>
      <c r="P34" s="395"/>
      <c r="Q34" s="395"/>
      <c r="R34" s="395"/>
      <c r="S34" s="395" t="s">
        <v>405</v>
      </c>
      <c r="T34" s="395"/>
      <c r="U34" s="395"/>
      <c r="V34" s="395"/>
      <c r="W34" s="395"/>
      <c r="X34" s="395"/>
      <c r="Y34" s="395" t="s">
        <v>693</v>
      </c>
      <c r="Z34" s="395"/>
      <c r="AA34" s="395"/>
      <c r="AB34" s="395"/>
      <c r="AC34" s="395"/>
    </row>
    <row r="35" spans="1:29" ht="39" customHeight="1" x14ac:dyDescent="0.2">
      <c r="A35" s="395"/>
      <c r="B35" s="395"/>
      <c r="C35" s="395"/>
      <c r="D35" s="395"/>
      <c r="E35" s="395"/>
      <c r="F35" s="450">
        <v>2019</v>
      </c>
      <c r="G35" s="188" t="s">
        <v>710</v>
      </c>
      <c r="H35" s="189">
        <f>H$27*'GHG Coefficient Lookup'!$AE$9/1000</f>
        <v>1.2939509996347536</v>
      </c>
      <c r="I35" s="189">
        <f>I$27*'GHG Coefficient Lookup'!$AE$9/1000</f>
        <v>0.93303504112239988</v>
      </c>
      <c r="J35" s="189">
        <f>J$27*'GHG Coefficient Lookup'!$AE$9/1000</f>
        <v>0</v>
      </c>
      <c r="K35" s="189">
        <f>K$27*'GHG Coefficient Lookup'!$AE$9/1000</f>
        <v>0</v>
      </c>
      <c r="L35" s="451"/>
      <c r="M35" s="188" t="s">
        <v>710</v>
      </c>
      <c r="N35" s="189">
        <f>N$27*'GHG Coefficient Lookup'!$AE$9/1000</f>
        <v>0.66906701318095585</v>
      </c>
      <c r="O35" s="189" t="e">
        <f>O$27*'GHG Coefficient Lookup'!$AE$9/1000</f>
        <v>#REF!</v>
      </c>
      <c r="P35" s="189">
        <f>P$27*'GHG Coefficient Lookup'!$AE$9/1000</f>
        <v>0</v>
      </c>
      <c r="Q35" s="189">
        <f>Q$27*'GHG Coefficient Lookup'!$AE$9/1000</f>
        <v>0</v>
      </c>
      <c r="R35" s="451"/>
      <c r="S35" s="188" t="s">
        <v>710</v>
      </c>
      <c r="T35" s="189">
        <f>T$27*'GHG Coefficient Lookup'!$AE$9/1000</f>
        <v>0.66906701318095585</v>
      </c>
      <c r="U35" s="189" t="e">
        <f>U$27*'GHG Coefficient Lookup'!$AE$9/1000</f>
        <v>#REF!</v>
      </c>
      <c r="V35" s="189">
        <f>V$27*'GHG Coefficient Lookup'!$AE$9/1000</f>
        <v>0</v>
      </c>
      <c r="W35" s="189">
        <f>W$27*'GHG Coefficient Lookup'!$AE$9/1000</f>
        <v>0</v>
      </c>
      <c r="X35" s="451"/>
      <c r="Y35" s="188" t="s">
        <v>710</v>
      </c>
      <c r="Z35" s="189">
        <f>Z$27*'GHG Coefficient Lookup'!$AE$9/1000</f>
        <v>0.66906701318095585</v>
      </c>
      <c r="AA35" s="189" t="e">
        <f>AA$27*'GHG Coefficient Lookup'!$AE$9/1000</f>
        <v>#REF!</v>
      </c>
      <c r="AB35" s="189">
        <f>AB$27*'GHG Coefficient Lookup'!$AE$9/1000</f>
        <v>0</v>
      </c>
      <c r="AC35" s="190">
        <f>AC$27*'GHG Coefficient Lookup'!$AE$9/1000</f>
        <v>0</v>
      </c>
    </row>
    <row r="36" spans="1:29" x14ac:dyDescent="0.2">
      <c r="A36" s="395"/>
      <c r="B36" s="395"/>
      <c r="C36" s="395"/>
      <c r="D36" s="395"/>
      <c r="E36" s="395"/>
      <c r="F36" s="429"/>
      <c r="G36" s="8" t="s">
        <v>711</v>
      </c>
      <c r="H36" s="187" t="e">
        <f>VLOOKUP(H$19,'GHG Coefficient Lookup'!$AD$3:$AL$6,8,FALSE)*H$28</f>
        <v>#REF!</v>
      </c>
      <c r="I36" s="187">
        <f>VLOOKUP(I$19,'GHG Coefficient Lookup'!$AD$3:$AL$6,8,FALSE)*I$28</f>
        <v>2.2991728108369616</v>
      </c>
      <c r="J36" s="187">
        <f>VLOOKUP(J$19,'GHG Coefficient Lookup'!$AD$3:$AL$6,8,FALSE)*J$28</f>
        <v>2.0789938883757744</v>
      </c>
      <c r="K36" s="187" t="e">
        <f>VLOOKUP(K$19,'GHG Coefficient Lookup'!$AD$3:$AL$6,8,FALSE)*K$28</f>
        <v>#REF!</v>
      </c>
      <c r="L36" s="452"/>
      <c r="M36" s="8" t="s">
        <v>711</v>
      </c>
      <c r="N36" s="187">
        <f>VLOOKUP(N$19,'GHG Coefficient Lookup'!$AD$3:$AL$6,8,FALSE)*N$28</f>
        <v>0.11063730102787299</v>
      </c>
      <c r="O36" s="187">
        <f>VLOOKUP(O$19,'GHG Coefficient Lookup'!$AD$3:$AL$6,8,FALSE)*O$28</f>
        <v>8.1121233382123958E-2</v>
      </c>
      <c r="P36" s="187" t="e">
        <f>VLOOKUP(P$19,'GHG Coefficient Lookup'!$AD$3:$AL$6,8,FALSE)*P$28</f>
        <v>#REF!</v>
      </c>
      <c r="Q36" s="187" t="e">
        <f>VLOOKUP(Q$19,'GHG Coefficient Lookup'!$AD$3:$AL$6,8,FALSE)*Q$28</f>
        <v>#REF!</v>
      </c>
      <c r="R36" s="452"/>
      <c r="S36" s="8" t="s">
        <v>711</v>
      </c>
      <c r="T36" s="187">
        <f>VLOOKUP(T$19,'GHG Coefficient Lookup'!$AD$3:$AL$6,8,FALSE)*T$28</f>
        <v>5.7476134650812254</v>
      </c>
      <c r="U36" s="187">
        <f>VLOOKUP(U$19,'GHG Coefficient Lookup'!$AD$3:$AL$6,8,FALSE)*U$28</f>
        <v>7.6722997870860539</v>
      </c>
      <c r="V36" s="187" t="e">
        <f>VLOOKUP(V$19,'GHG Coefficient Lookup'!$AD$3:$AL$6,8,FALSE)*V$28</f>
        <v>#REF!</v>
      </c>
      <c r="W36" s="187" t="e">
        <f>VLOOKUP(W$19,'GHG Coefficient Lookup'!$AD$3:$AL$6,8,FALSE)*W$28</f>
        <v>#REF!</v>
      </c>
      <c r="X36" s="452"/>
      <c r="Y36" s="8" t="s">
        <v>711</v>
      </c>
      <c r="Z36" s="187" t="e">
        <f>VLOOKUP(Z$19,'GHG Coefficient Lookup'!$AD$3:$AL$6,8,FALSE)*Z$28</f>
        <v>#N/A</v>
      </c>
      <c r="AA36" s="187" t="e">
        <f>VLOOKUP(AA$19,'GHG Coefficient Lookup'!$AD$3:$AL$6,8,FALSE)*AA$28</f>
        <v>#N/A</v>
      </c>
      <c r="AB36" s="187" t="e">
        <f>VLOOKUP(AB$19,'GHG Coefficient Lookup'!$AD$3:$AL$6,8,FALSE)*AB$28</f>
        <v>#N/A</v>
      </c>
      <c r="AC36" s="187" t="e">
        <f>VLOOKUP(AC$19,'GHG Coefficient Lookup'!$AD$3:$AL$6,8,FALSE)*AC$28</f>
        <v>#N/A</v>
      </c>
    </row>
    <row r="37" spans="1:29" ht="13.5" thickBot="1" x14ac:dyDescent="0.25">
      <c r="A37" s="395"/>
      <c r="B37" s="395"/>
      <c r="C37" s="395"/>
      <c r="D37" s="395"/>
      <c r="E37" s="395"/>
      <c r="F37" s="432"/>
      <c r="G37" s="453" t="s">
        <v>712</v>
      </c>
      <c r="H37" s="454" t="e">
        <f>H36+H35</f>
        <v>#REF!</v>
      </c>
      <c r="I37" s="454">
        <f>I36+I35</f>
        <v>3.2322078519593616</v>
      </c>
      <c r="J37" s="454">
        <f>J36+J35</f>
        <v>2.0789938883757744</v>
      </c>
      <c r="K37" s="454" t="e">
        <f>K36+K35</f>
        <v>#REF!</v>
      </c>
      <c r="L37" s="455"/>
      <c r="M37" s="453" t="s">
        <v>712</v>
      </c>
      <c r="N37" s="454">
        <f>N36+N35</f>
        <v>0.7797043142088288</v>
      </c>
      <c r="O37" s="454" t="e">
        <f>O36+O35</f>
        <v>#REF!</v>
      </c>
      <c r="P37" s="454" t="e">
        <f>P36+P35</f>
        <v>#REF!</v>
      </c>
      <c r="Q37" s="454" t="e">
        <f>Q36+Q35</f>
        <v>#REF!</v>
      </c>
      <c r="R37" s="455"/>
      <c r="S37" s="453" t="s">
        <v>712</v>
      </c>
      <c r="T37" s="454">
        <f>T36+T35</f>
        <v>6.4166804782621814</v>
      </c>
      <c r="U37" s="454" t="e">
        <f>U36+U35</f>
        <v>#REF!</v>
      </c>
      <c r="V37" s="454" t="e">
        <f>V36+V35</f>
        <v>#REF!</v>
      </c>
      <c r="W37" s="454" t="e">
        <f>W36+W35</f>
        <v>#REF!</v>
      </c>
      <c r="X37" s="455"/>
      <c r="Y37" s="453" t="s">
        <v>712</v>
      </c>
      <c r="Z37" s="454" t="e">
        <f>Z36+Z35</f>
        <v>#N/A</v>
      </c>
      <c r="AA37" s="454" t="e">
        <f>AA36+AA35</f>
        <v>#N/A</v>
      </c>
      <c r="AB37" s="454" t="e">
        <f>AB36+AB35</f>
        <v>#N/A</v>
      </c>
      <c r="AC37" s="456" t="e">
        <f>AC36+AC35</f>
        <v>#N/A</v>
      </c>
    </row>
    <row r="38" spans="1:29" x14ac:dyDescent="0.2">
      <c r="A38" s="395"/>
      <c r="B38" s="395"/>
      <c r="C38" s="395"/>
      <c r="D38" s="395"/>
      <c r="E38" s="395"/>
      <c r="F38" s="457">
        <v>2050</v>
      </c>
      <c r="G38" s="188" t="s">
        <v>710</v>
      </c>
      <c r="H38" s="189">
        <f>H$27*'GHG Coefficient Lookup'!$AE$9/1000</f>
        <v>1.2939509996347536</v>
      </c>
      <c r="I38" s="189">
        <f>I$27*'GHG Coefficient Lookup'!$AE$9/1000</f>
        <v>0.93303504112239988</v>
      </c>
      <c r="J38" s="189">
        <f>J$27*'GHG Coefficient Lookup'!$AE$9/1000</f>
        <v>0</v>
      </c>
      <c r="K38" s="189">
        <f>K$27*'GHG Coefficient Lookup'!$AE$9/1000</f>
        <v>0</v>
      </c>
      <c r="L38" s="451"/>
      <c r="M38" s="188" t="s">
        <v>710</v>
      </c>
      <c r="N38" s="189">
        <f>N$27*'GHG Coefficient Lookup'!$AE$9/1000</f>
        <v>0.66906701318095585</v>
      </c>
      <c r="O38" s="189" t="e">
        <f>O$27*'GHG Coefficient Lookup'!$AE$9/1000</f>
        <v>#REF!</v>
      </c>
      <c r="P38" s="189">
        <f>P$27*'GHG Coefficient Lookup'!$AE$9/1000</f>
        <v>0</v>
      </c>
      <c r="Q38" s="189">
        <f>Q$27*'GHG Coefficient Lookup'!$AE$9/1000</f>
        <v>0</v>
      </c>
      <c r="R38" s="451"/>
      <c r="S38" s="188" t="s">
        <v>710</v>
      </c>
      <c r="T38" s="189">
        <f>T$27*'GHG Coefficient Lookup'!$AE$9/1000</f>
        <v>0.66906701318095585</v>
      </c>
      <c r="U38" s="189" t="e">
        <f>U$27*'GHG Coefficient Lookup'!$AE$9/1000</f>
        <v>#REF!</v>
      </c>
      <c r="V38" s="189">
        <f>V$27*'GHG Coefficient Lookup'!$AE$9/1000</f>
        <v>0</v>
      </c>
      <c r="W38" s="189">
        <f>W$27*'GHG Coefficient Lookup'!$AE$9/1000</f>
        <v>0</v>
      </c>
      <c r="X38" s="451"/>
      <c r="Y38" s="188" t="s">
        <v>710</v>
      </c>
      <c r="Z38" s="189">
        <f>Z$27*'GHG Coefficient Lookup'!$AE$9/1000</f>
        <v>0.66906701318095585</v>
      </c>
      <c r="AA38" s="189" t="e">
        <f>AA$27*'GHG Coefficient Lookup'!$AE$9/1000</f>
        <v>#REF!</v>
      </c>
      <c r="AB38" s="189">
        <f>AB$27*'GHG Coefficient Lookup'!$AE$9/1000</f>
        <v>0</v>
      </c>
      <c r="AC38" s="190">
        <f>AC$27*'GHG Coefficient Lookup'!$AE$9/1000</f>
        <v>0</v>
      </c>
    </row>
    <row r="39" spans="1:29" x14ac:dyDescent="0.2">
      <c r="A39" s="395"/>
      <c r="B39" s="395"/>
      <c r="C39" s="395"/>
      <c r="D39" s="395"/>
      <c r="E39" s="395"/>
      <c r="F39" s="458" t="s">
        <v>713</v>
      </c>
      <c r="G39" s="8" t="s">
        <v>711</v>
      </c>
      <c r="H39" s="187" t="e">
        <f>VLOOKUP(H$19,'GHG Coefficient Lookup'!$AD$3:$AL$6,9,FALSE)*H$28</f>
        <v>#REF!</v>
      </c>
      <c r="I39" s="187">
        <f>VLOOKUP(I$19,'GHG Coefficient Lookup'!$AD$3:$AL$6,9,FALSE)*I$28</f>
        <v>8.1547472645929805E-2</v>
      </c>
      <c r="J39" s="187">
        <f>VLOOKUP(J$19,'GHG Coefficient Lookup'!$AD$3:$AL$6,9,FALSE)*J$28</f>
        <v>7.373812722744523E-2</v>
      </c>
      <c r="K39" s="187" t="e">
        <f>VLOOKUP(K$19,'GHG Coefficient Lookup'!$AD$3:$AL$6,9,FALSE)*K$28</f>
        <v>#REF!</v>
      </c>
      <c r="L39" s="452"/>
      <c r="M39" s="8" t="s">
        <v>711</v>
      </c>
      <c r="N39" s="187">
        <f>VLOOKUP(N$19,'GHG Coefficient Lookup'!$AD$3:$AL$6,9,FALSE)*N$28</f>
        <v>0.11063730102787299</v>
      </c>
      <c r="O39" s="187">
        <f>VLOOKUP(O$19,'GHG Coefficient Lookup'!$AD$3:$AL$6,9,FALSE)*O$28</f>
        <v>8.1121233382123958E-2</v>
      </c>
      <c r="P39" s="187" t="e">
        <f>VLOOKUP(P$19,'GHG Coefficient Lookup'!$AD$3:$AL$6,9,FALSE)*P$28</f>
        <v>#REF!</v>
      </c>
      <c r="Q39" s="187" t="e">
        <f>VLOOKUP(Q$19,'GHG Coefficient Lookup'!$AD$3:$AL$6,9,FALSE)*Q$28</f>
        <v>#REF!</v>
      </c>
      <c r="R39" s="452"/>
      <c r="S39" s="8" t="s">
        <v>711</v>
      </c>
      <c r="T39" s="187">
        <f>VLOOKUP(T$19,'GHG Coefficient Lookup'!$AD$3:$AL$6,9,FALSE)*T$28</f>
        <v>8.0867447960571964E-2</v>
      </c>
      <c r="U39" s="187">
        <f>VLOOKUP(U$19,'GHG Coefficient Lookup'!$AD$3:$AL$6,9,FALSE)*U$28</f>
        <v>0.1079472910868965</v>
      </c>
      <c r="V39" s="187" t="e">
        <f>VLOOKUP(V$19,'GHG Coefficient Lookup'!$AD$3:$AL$6,9,FALSE)*V$28</f>
        <v>#REF!</v>
      </c>
      <c r="W39" s="187" t="e">
        <f>VLOOKUP(W$19,'GHG Coefficient Lookup'!$AD$3:$AL$6,9,FALSE)*W$28</f>
        <v>#REF!</v>
      </c>
      <c r="X39" s="452"/>
      <c r="Y39" s="8" t="s">
        <v>711</v>
      </c>
      <c r="Z39" s="187" t="e">
        <f>VLOOKUP(Z$19,'GHG Coefficient Lookup'!$AD$3:$AL$6,9,FALSE)*Z$28</f>
        <v>#N/A</v>
      </c>
      <c r="AA39" s="187" t="e">
        <f>VLOOKUP(AA$19,'GHG Coefficient Lookup'!$AD$3:$AL$6,9,FALSE)*AA$28</f>
        <v>#N/A</v>
      </c>
      <c r="AB39" s="187" t="e">
        <f>VLOOKUP(AB$19,'GHG Coefficient Lookup'!$AD$3:$AL$6,9,FALSE)*AB$28</f>
        <v>#N/A</v>
      </c>
      <c r="AC39" s="187" t="e">
        <f>VLOOKUP(AC$19,'GHG Coefficient Lookup'!$AD$3:$AL$6,9,FALSE)*AC$28</f>
        <v>#N/A</v>
      </c>
    </row>
    <row r="40" spans="1:29" ht="13.5" thickBot="1" x14ac:dyDescent="0.25">
      <c r="A40" s="395"/>
      <c r="B40" s="395"/>
      <c r="C40" s="395"/>
      <c r="D40" s="395"/>
      <c r="E40" s="395"/>
      <c r="F40" s="432"/>
      <c r="G40" s="453" t="s">
        <v>712</v>
      </c>
      <c r="H40" s="454" t="e">
        <f>H39+H38</f>
        <v>#REF!</v>
      </c>
      <c r="I40" s="454">
        <f>I39+I38</f>
        <v>1.0145825137683298</v>
      </c>
      <c r="J40" s="454">
        <f>J39+J38</f>
        <v>7.373812722744523E-2</v>
      </c>
      <c r="K40" s="454" t="e">
        <f>K39+K38</f>
        <v>#REF!</v>
      </c>
      <c r="L40" s="455"/>
      <c r="M40" s="453" t="s">
        <v>712</v>
      </c>
      <c r="N40" s="454">
        <f>N39+N38</f>
        <v>0.7797043142088288</v>
      </c>
      <c r="O40" s="454" t="e">
        <f>O39+O38</f>
        <v>#REF!</v>
      </c>
      <c r="P40" s="454" t="e">
        <f>P39+P38</f>
        <v>#REF!</v>
      </c>
      <c r="Q40" s="454" t="e">
        <f>Q39+Q38</f>
        <v>#REF!</v>
      </c>
      <c r="R40" s="455"/>
      <c r="S40" s="453" t="s">
        <v>712</v>
      </c>
      <c r="T40" s="454">
        <f>T39+T38</f>
        <v>0.74993446114152784</v>
      </c>
      <c r="U40" s="454" t="e">
        <f>U39+U38</f>
        <v>#REF!</v>
      </c>
      <c r="V40" s="454" t="e">
        <f>V39+V38</f>
        <v>#REF!</v>
      </c>
      <c r="W40" s="454" t="e">
        <f>W39+W38</f>
        <v>#REF!</v>
      </c>
      <c r="X40" s="455"/>
      <c r="Y40" s="453" t="s">
        <v>712</v>
      </c>
      <c r="Z40" s="454" t="e">
        <f>Z39+Z38</f>
        <v>#N/A</v>
      </c>
      <c r="AA40" s="454" t="e">
        <f>AA39+AA38</f>
        <v>#N/A</v>
      </c>
      <c r="AB40" s="454" t="e">
        <f>AB39+AB38</f>
        <v>#N/A</v>
      </c>
      <c r="AC40" s="456" t="e">
        <f>AC39+AC38</f>
        <v>#N/A</v>
      </c>
    </row>
    <row r="50" spans="1:24" x14ac:dyDescent="0.2">
      <c r="A50" s="395"/>
      <c r="B50" s="395"/>
      <c r="C50" s="395"/>
      <c r="D50" s="395"/>
      <c r="E50" s="395"/>
      <c r="F50" s="395"/>
      <c r="G50" s="395"/>
      <c r="H50" s="395"/>
      <c r="I50" s="395"/>
      <c r="J50" s="395"/>
      <c r="K50" s="395"/>
      <c r="L50" s="395"/>
      <c r="M50" s="395"/>
      <c r="N50" s="395"/>
      <c r="O50" s="395"/>
      <c r="P50" s="395"/>
      <c r="Q50" s="395"/>
      <c r="R50" s="395"/>
      <c r="S50" s="395"/>
      <c r="T50" s="395"/>
      <c r="U50" s="395"/>
      <c r="V50" s="395"/>
      <c r="W50" s="395"/>
      <c r="X50" s="395"/>
    </row>
    <row r="51" spans="1:24" ht="15" x14ac:dyDescent="0.25">
      <c r="A51" s="395"/>
      <c r="B51" s="395"/>
      <c r="C51" s="395"/>
      <c r="D51" s="395"/>
      <c r="E51" s="395"/>
      <c r="F51" s="395"/>
      <c r="G51" s="395"/>
      <c r="H51" s="263"/>
      <c r="I51" s="263"/>
      <c r="J51" s="263"/>
      <c r="K51" s="263"/>
      <c r="L51" s="263"/>
      <c r="M51" s="263"/>
      <c r="N51" s="263"/>
      <c r="O51" s="263"/>
      <c r="P51" s="263"/>
      <c r="Q51" s="263"/>
      <c r="R51" s="263"/>
      <c r="S51" s="263"/>
      <c r="T51" s="263"/>
      <c r="U51" s="263"/>
      <c r="V51" s="263"/>
      <c r="W51" s="263"/>
      <c r="X51" s="263"/>
    </row>
    <row r="52" spans="1:24" ht="15.75" x14ac:dyDescent="0.25">
      <c r="A52" s="395"/>
      <c r="B52" s="395"/>
      <c r="C52" s="395"/>
      <c r="D52" s="395"/>
      <c r="E52" s="395"/>
      <c r="F52" s="395"/>
      <c r="G52" s="395"/>
      <c r="H52" s="263"/>
      <c r="I52" s="19" t="s">
        <v>755</v>
      </c>
      <c r="J52" s="19"/>
      <c r="K52" s="19"/>
      <c r="L52" s="19"/>
      <c r="M52" s="19"/>
      <c r="N52" s="19"/>
      <c r="O52" s="19"/>
      <c r="P52" s="263"/>
      <c r="Q52" s="263" t="s">
        <v>756</v>
      </c>
      <c r="R52" s="263" t="s" vm="1">
        <v>757</v>
      </c>
      <c r="S52" s="263"/>
      <c r="T52" s="263"/>
      <c r="U52" s="263"/>
      <c r="V52" s="263"/>
      <c r="W52" s="263"/>
      <c r="X52" s="263"/>
    </row>
    <row r="53" spans="1:24" ht="15.75" x14ac:dyDescent="0.25">
      <c r="A53" s="395"/>
      <c r="B53" s="395"/>
      <c r="C53" s="394"/>
      <c r="D53" s="395"/>
      <c r="E53" s="395"/>
      <c r="F53" s="395"/>
      <c r="G53" s="395"/>
      <c r="H53" s="263"/>
      <c r="I53" s="19"/>
      <c r="J53" s="19" t="s">
        <v>758</v>
      </c>
      <c r="K53" s="19"/>
      <c r="L53" s="19"/>
      <c r="M53" s="19" t="s">
        <v>759</v>
      </c>
      <c r="N53" s="19"/>
      <c r="O53" s="19"/>
      <c r="P53" s="263"/>
      <c r="Q53" s="263" t="s">
        <v>760</v>
      </c>
      <c r="R53" s="263" t="s" vm="3">
        <v>425</v>
      </c>
      <c r="S53" s="263"/>
      <c r="T53" s="263"/>
      <c r="U53" s="263"/>
      <c r="V53" s="263"/>
      <c r="W53" s="263"/>
      <c r="X53" s="263"/>
    </row>
    <row r="54" spans="1:24" ht="15.75" x14ac:dyDescent="0.25">
      <c r="A54" s="395"/>
      <c r="B54" s="395"/>
      <c r="C54" s="394"/>
      <c r="D54" s="395"/>
      <c r="E54" s="395"/>
      <c r="F54" s="395"/>
      <c r="G54" s="395"/>
      <c r="H54" s="263"/>
      <c r="I54" s="20" t="s">
        <v>761</v>
      </c>
      <c r="J54" s="20" t="s">
        <v>405</v>
      </c>
      <c r="K54" s="20" t="s">
        <v>409</v>
      </c>
      <c r="L54" s="20" t="s">
        <v>418</v>
      </c>
      <c r="M54" s="20" t="s">
        <v>405</v>
      </c>
      <c r="N54" s="20" t="s">
        <v>409</v>
      </c>
      <c r="O54" s="20" t="s">
        <v>418</v>
      </c>
      <c r="P54" s="263"/>
      <c r="Q54" s="263" t="s">
        <v>779</v>
      </c>
      <c r="R54" s="263" t="s" vm="4">
        <v>780</v>
      </c>
      <c r="S54" s="263"/>
      <c r="T54" s="263"/>
      <c r="U54" s="263"/>
      <c r="V54" s="263"/>
      <c r="W54" s="263"/>
      <c r="X54" s="263"/>
    </row>
    <row r="55" spans="1:24" ht="15" x14ac:dyDescent="0.25">
      <c r="A55" s="395"/>
      <c r="B55" s="395"/>
      <c r="C55" s="395"/>
      <c r="D55" s="395"/>
      <c r="E55" s="395"/>
      <c r="F55" s="395"/>
      <c r="G55" s="395"/>
      <c r="H55" s="263"/>
      <c r="I55" s="21">
        <v>1910</v>
      </c>
      <c r="J55" s="264">
        <v>3</v>
      </c>
      <c r="K55" s="264">
        <v>33</v>
      </c>
      <c r="L55" s="264">
        <v>7</v>
      </c>
      <c r="M55" s="264">
        <v>107.83333333333333</v>
      </c>
      <c r="N55" s="264">
        <v>116.94242424242424</v>
      </c>
      <c r="O55" s="264">
        <v>64.11428560529437</v>
      </c>
      <c r="P55" s="263"/>
      <c r="Q55" s="263"/>
      <c r="R55" s="263"/>
      <c r="S55" s="263"/>
      <c r="T55" s="263"/>
      <c r="U55" s="263"/>
      <c r="V55" s="263"/>
      <c r="W55" s="263"/>
      <c r="X55" s="263"/>
    </row>
    <row r="56" spans="1:24" ht="15" x14ac:dyDescent="0.25">
      <c r="A56" s="395"/>
      <c r="B56" s="395"/>
      <c r="C56" s="395"/>
      <c r="D56" s="395"/>
      <c r="E56" s="395"/>
      <c r="F56" s="395"/>
      <c r="G56" s="395"/>
      <c r="H56" s="263"/>
      <c r="I56" s="21">
        <v>1920</v>
      </c>
      <c r="J56" s="264">
        <v>11</v>
      </c>
      <c r="K56" s="264">
        <v>74</v>
      </c>
      <c r="L56" s="264">
        <v>18</v>
      </c>
      <c r="M56" s="264">
        <v>109.13636363636364</v>
      </c>
      <c r="N56" s="264">
        <v>102.37162162162161</v>
      </c>
      <c r="O56" s="264">
        <v>86.51666588253444</v>
      </c>
      <c r="P56" s="263"/>
      <c r="Q56" s="263" t="s">
        <v>765</v>
      </c>
      <c r="R56" s="263" t="s">
        <v>781</v>
      </c>
      <c r="S56" s="263"/>
      <c r="T56" s="263"/>
      <c r="U56" s="263"/>
      <c r="V56" s="263"/>
      <c r="W56" s="263"/>
      <c r="X56" s="263"/>
    </row>
    <row r="57" spans="1:24" ht="15" x14ac:dyDescent="0.25">
      <c r="A57" s="395"/>
      <c r="B57" s="395"/>
      <c r="C57" s="395"/>
      <c r="D57" s="395"/>
      <c r="E57" s="395"/>
      <c r="F57" s="395"/>
      <c r="G57" s="395"/>
      <c r="H57" s="263"/>
      <c r="I57" s="21">
        <v>1930</v>
      </c>
      <c r="J57" s="264">
        <v>2</v>
      </c>
      <c r="K57" s="264">
        <v>26</v>
      </c>
      <c r="L57" s="264">
        <v>5</v>
      </c>
      <c r="M57" s="264">
        <v>55.4</v>
      </c>
      <c r="N57" s="264">
        <v>111.58076923076925</v>
      </c>
      <c r="O57" s="264">
        <v>77.180000305175753</v>
      </c>
      <c r="P57" s="263"/>
      <c r="Q57" s="21" t="s">
        <v>522</v>
      </c>
      <c r="R57" s="264"/>
      <c r="S57" s="263"/>
      <c r="T57" s="263"/>
      <c r="U57" s="263"/>
      <c r="V57" s="263"/>
      <c r="W57" s="263"/>
      <c r="X57" s="263"/>
    </row>
    <row r="58" spans="1:24" ht="15" x14ac:dyDescent="0.25">
      <c r="A58" s="395"/>
      <c r="B58" s="395"/>
      <c r="C58" s="395"/>
      <c r="D58" s="395"/>
      <c r="E58" s="395"/>
      <c r="F58" s="395"/>
      <c r="G58" s="395"/>
      <c r="H58" s="263"/>
      <c r="I58" s="21">
        <v>1940</v>
      </c>
      <c r="J58" s="264">
        <v>8</v>
      </c>
      <c r="K58" s="264">
        <v>5</v>
      </c>
      <c r="L58" s="264">
        <v>1</v>
      </c>
      <c r="M58" s="264">
        <v>77.337499999999991</v>
      </c>
      <c r="N58" s="264">
        <v>117.66000000000001</v>
      </c>
      <c r="O58" s="264">
        <v>69.099998474121094</v>
      </c>
      <c r="P58" s="263"/>
      <c r="Q58" s="192" t="s">
        <v>405</v>
      </c>
      <c r="R58" s="264">
        <v>74758491.600000009</v>
      </c>
      <c r="S58" s="263"/>
      <c r="T58" s="263"/>
      <c r="U58" s="263"/>
      <c r="V58" s="263"/>
      <c r="W58" s="263"/>
      <c r="X58" s="263"/>
    </row>
    <row r="59" spans="1:24" ht="15" x14ac:dyDescent="0.25">
      <c r="A59" s="395"/>
      <c r="B59" s="395"/>
      <c r="C59" s="395"/>
      <c r="D59" s="395"/>
      <c r="E59" s="395"/>
      <c r="F59" s="395"/>
      <c r="G59" s="395"/>
      <c r="H59" s="263"/>
      <c r="I59" s="21">
        <v>1950</v>
      </c>
      <c r="J59" s="264">
        <v>6</v>
      </c>
      <c r="K59" s="264">
        <v>18</v>
      </c>
      <c r="L59" s="264">
        <v>8</v>
      </c>
      <c r="M59" s="264">
        <v>93.149999999999991</v>
      </c>
      <c r="N59" s="264">
        <v>120.76111111111112</v>
      </c>
      <c r="O59" s="264">
        <v>84.212499618530273</v>
      </c>
      <c r="P59" s="263"/>
      <c r="Q59" s="192" t="s">
        <v>409</v>
      </c>
      <c r="R59" s="264">
        <v>85684579</v>
      </c>
      <c r="S59" s="263"/>
      <c r="T59" s="263"/>
      <c r="U59" s="263"/>
      <c r="V59" s="263"/>
      <c r="W59" s="263"/>
      <c r="X59" s="263"/>
    </row>
    <row r="60" spans="1:24" ht="15" x14ac:dyDescent="0.25">
      <c r="A60" s="395"/>
      <c r="B60" s="395"/>
      <c r="C60" s="395"/>
      <c r="D60" s="395"/>
      <c r="E60" s="395"/>
      <c r="F60" s="395"/>
      <c r="G60" s="395"/>
      <c r="H60" s="263"/>
      <c r="I60" s="21">
        <v>1960</v>
      </c>
      <c r="J60" s="264">
        <v>12</v>
      </c>
      <c r="K60" s="264">
        <v>48</v>
      </c>
      <c r="L60" s="264">
        <v>19</v>
      </c>
      <c r="M60" s="264">
        <v>76.316666666666649</v>
      </c>
      <c r="N60" s="264">
        <v>117.23124999999997</v>
      </c>
      <c r="O60" s="264">
        <v>106.59473599885638</v>
      </c>
      <c r="P60" s="263"/>
      <c r="Q60" s="192" t="s">
        <v>418</v>
      </c>
      <c r="R60" s="264">
        <v>40465549</v>
      </c>
      <c r="S60" s="263"/>
      <c r="T60" s="263"/>
      <c r="U60" s="263"/>
      <c r="V60" s="263"/>
      <c r="W60" s="263"/>
      <c r="X60" s="263"/>
    </row>
    <row r="61" spans="1:24" ht="15" x14ac:dyDescent="0.25">
      <c r="A61" s="395"/>
      <c r="B61" s="395"/>
      <c r="C61" s="395"/>
      <c r="D61" s="395"/>
      <c r="E61" s="395"/>
      <c r="F61" s="395"/>
      <c r="G61" s="395"/>
      <c r="H61" s="263"/>
      <c r="I61" s="21">
        <v>1970</v>
      </c>
      <c r="J61" s="264">
        <v>5</v>
      </c>
      <c r="K61" s="264">
        <v>61</v>
      </c>
      <c r="L61" s="264">
        <v>7</v>
      </c>
      <c r="M61" s="264">
        <v>81.259999999999991</v>
      </c>
      <c r="N61" s="264">
        <v>132.51475409836067</v>
      </c>
      <c r="O61" s="264">
        <v>91.800000871930834</v>
      </c>
      <c r="P61" s="263"/>
      <c r="Q61" s="21" t="s">
        <v>766</v>
      </c>
      <c r="R61" s="264"/>
      <c r="S61" s="263"/>
      <c r="T61" s="263"/>
      <c r="U61" s="263"/>
      <c r="V61" s="263"/>
      <c r="W61" s="263"/>
      <c r="X61" s="263"/>
    </row>
    <row r="62" spans="1:24" ht="15" x14ac:dyDescent="0.25">
      <c r="A62" s="395"/>
      <c r="B62" s="395"/>
      <c r="C62" s="395"/>
      <c r="D62" s="395"/>
      <c r="E62" s="395"/>
      <c r="F62" s="395"/>
      <c r="G62" s="395"/>
      <c r="H62" s="263"/>
      <c r="I62" s="21">
        <v>1980</v>
      </c>
      <c r="J62" s="264">
        <v>16</v>
      </c>
      <c r="K62" s="264">
        <v>43</v>
      </c>
      <c r="L62" s="264">
        <v>13</v>
      </c>
      <c r="M62" s="264">
        <v>95.443749999999994</v>
      </c>
      <c r="N62" s="264">
        <v>104.12790697674421</v>
      </c>
      <c r="O62" s="264">
        <v>87.300001437847442</v>
      </c>
      <c r="P62" s="263"/>
      <c r="Q62" s="192" t="s">
        <v>405</v>
      </c>
      <c r="R62" s="264">
        <v>1772981</v>
      </c>
      <c r="S62" s="263"/>
      <c r="T62" s="263"/>
      <c r="U62" s="263"/>
      <c r="V62" s="263"/>
      <c r="W62" s="263"/>
      <c r="X62" s="263"/>
    </row>
    <row r="63" spans="1:24" ht="15" x14ac:dyDescent="0.25">
      <c r="A63" s="395"/>
      <c r="B63" s="395"/>
      <c r="C63" s="395"/>
      <c r="D63" s="395"/>
      <c r="E63" s="395"/>
      <c r="F63" s="395"/>
      <c r="G63" s="395"/>
      <c r="H63" s="263"/>
      <c r="I63" s="21">
        <v>1990</v>
      </c>
      <c r="J63" s="264">
        <v>14</v>
      </c>
      <c r="K63" s="264">
        <v>53</v>
      </c>
      <c r="L63" s="264">
        <v>23</v>
      </c>
      <c r="M63" s="264">
        <v>93.350000000000009</v>
      </c>
      <c r="N63" s="264">
        <v>125.47358490566039</v>
      </c>
      <c r="O63" s="264">
        <v>76.213042715321421</v>
      </c>
      <c r="P63" s="263"/>
      <c r="Q63" s="192" t="s">
        <v>409</v>
      </c>
      <c r="R63" s="264">
        <v>34798153</v>
      </c>
      <c r="S63" s="263"/>
      <c r="T63" s="263"/>
      <c r="U63" s="263"/>
      <c r="V63" s="263"/>
      <c r="W63" s="263"/>
      <c r="X63" s="263"/>
    </row>
    <row r="64" spans="1:24" ht="15" x14ac:dyDescent="0.25">
      <c r="A64" s="395"/>
      <c r="B64" s="395"/>
      <c r="C64" s="395"/>
      <c r="D64" s="395"/>
      <c r="E64" s="395"/>
      <c r="F64" s="395"/>
      <c r="G64" s="395"/>
      <c r="H64" s="263"/>
      <c r="I64" s="21">
        <v>2000</v>
      </c>
      <c r="J64" s="264">
        <v>27</v>
      </c>
      <c r="K64" s="264">
        <v>57</v>
      </c>
      <c r="L64" s="264">
        <v>27</v>
      </c>
      <c r="M64" s="264">
        <v>94.081481481481475</v>
      </c>
      <c r="N64" s="264">
        <v>117.82280701754384</v>
      </c>
      <c r="O64" s="264">
        <v>69.696296338681819</v>
      </c>
      <c r="P64" s="263"/>
      <c r="Q64" s="192" t="s">
        <v>418</v>
      </c>
      <c r="R64" s="264">
        <v>2262734</v>
      </c>
      <c r="S64" s="263"/>
      <c r="T64" s="263"/>
      <c r="U64" s="263"/>
      <c r="V64" s="263"/>
      <c r="W64" s="263"/>
      <c r="X64" s="263"/>
    </row>
    <row r="65" spans="6:24" ht="15" x14ac:dyDescent="0.25">
      <c r="F65" s="395"/>
      <c r="G65" s="395"/>
      <c r="H65" s="263"/>
      <c r="I65" s="21">
        <v>2010</v>
      </c>
      <c r="J65" s="264">
        <v>15</v>
      </c>
      <c r="K65" s="264">
        <v>46</v>
      </c>
      <c r="L65" s="264">
        <v>18</v>
      </c>
      <c r="M65" s="264">
        <v>61.533333333333331</v>
      </c>
      <c r="N65" s="264">
        <v>96.623913043478282</v>
      </c>
      <c r="O65" s="264">
        <v>52.294444190131287</v>
      </c>
      <c r="P65" s="263"/>
      <c r="Q65" s="21" t="s">
        <v>767</v>
      </c>
      <c r="R65" s="264"/>
      <c r="S65" s="263"/>
      <c r="T65" s="263"/>
      <c r="U65" s="263"/>
      <c r="V65" s="263"/>
      <c r="W65" s="263"/>
      <c r="X65" s="263"/>
    </row>
    <row r="66" spans="6:24" ht="15" x14ac:dyDescent="0.25">
      <c r="F66" s="395"/>
      <c r="G66" s="395"/>
      <c r="H66" s="263"/>
      <c r="I66" s="263" t="s">
        <v>769</v>
      </c>
      <c r="J66" s="22">
        <f>SUM(J62:J65)/SUM(J55:J65)</f>
        <v>0.60504201680672265</v>
      </c>
      <c r="K66" s="22">
        <f>SUM(K62:K65)/SUM(K55:K65)</f>
        <v>0.42887931034482757</v>
      </c>
      <c r="L66" s="22">
        <f>SUM(L62:L65)/SUM(L55:L65)</f>
        <v>0.5547945205479452</v>
      </c>
      <c r="M66" s="263"/>
      <c r="N66" s="263"/>
      <c r="O66" s="263"/>
      <c r="P66" s="263"/>
      <c r="Q66" s="192" t="s">
        <v>405</v>
      </c>
      <c r="R66" s="264">
        <v>10942922.1</v>
      </c>
      <c r="S66" s="263"/>
      <c r="T66" s="263"/>
      <c r="U66" s="263"/>
      <c r="V66" s="263"/>
      <c r="W66" s="263"/>
      <c r="X66" s="263"/>
    </row>
    <row r="67" spans="6:24" ht="15" x14ac:dyDescent="0.25">
      <c r="F67" s="395"/>
      <c r="G67" s="395"/>
      <c r="H67" s="263"/>
      <c r="I67" s="263"/>
      <c r="J67" s="263"/>
      <c r="K67" s="263"/>
      <c r="L67" s="263"/>
      <c r="M67" s="263"/>
      <c r="N67" s="263"/>
      <c r="O67" s="263"/>
      <c r="P67" s="263"/>
      <c r="Q67" s="192" t="s">
        <v>409</v>
      </c>
      <c r="R67" s="264">
        <v>72269777</v>
      </c>
      <c r="S67" s="263"/>
      <c r="T67" s="263"/>
      <c r="U67" s="263"/>
      <c r="V67" s="263"/>
      <c r="W67" s="263"/>
      <c r="X67" s="263"/>
    </row>
    <row r="68" spans="6:24" ht="15" x14ac:dyDescent="0.25">
      <c r="F68" s="395"/>
      <c r="G68" s="395"/>
      <c r="H68" s="263"/>
      <c r="I68" s="263"/>
      <c r="J68" s="263"/>
      <c r="K68" s="263"/>
      <c r="L68" s="263"/>
      <c r="M68" s="263"/>
      <c r="N68" s="263"/>
      <c r="O68" s="263"/>
      <c r="P68" s="263"/>
      <c r="Q68" s="192" t="s">
        <v>418</v>
      </c>
      <c r="R68" s="264">
        <v>6830544</v>
      </c>
      <c r="S68" s="263"/>
      <c r="T68" s="263"/>
      <c r="U68" s="263"/>
      <c r="V68" s="263"/>
      <c r="W68" s="263"/>
      <c r="X68" s="263"/>
    </row>
    <row r="69" spans="6:24" ht="15" x14ac:dyDescent="0.25">
      <c r="F69" s="395"/>
      <c r="G69" s="395"/>
      <c r="H69" s="263"/>
      <c r="I69" s="263"/>
      <c r="J69" s="263"/>
      <c r="K69" s="263"/>
      <c r="L69" s="263"/>
      <c r="M69" s="263"/>
      <c r="N69" s="263"/>
      <c r="O69" s="263"/>
      <c r="P69" s="263"/>
      <c r="Q69" s="263"/>
      <c r="R69" s="263"/>
      <c r="S69" s="263"/>
      <c r="T69" s="263"/>
      <c r="U69" s="263"/>
      <c r="V69" s="263"/>
      <c r="W69" s="263"/>
      <c r="X69" s="263"/>
    </row>
    <row r="70" spans="6:24" ht="15" x14ac:dyDescent="0.25">
      <c r="F70" s="395"/>
      <c r="G70" s="395"/>
      <c r="H70" s="263"/>
      <c r="I70" s="263"/>
      <c r="J70" s="263"/>
      <c r="K70" s="263"/>
      <c r="L70" s="263"/>
      <c r="M70" s="263"/>
      <c r="N70" s="263"/>
      <c r="O70" s="263"/>
      <c r="P70" s="263"/>
      <c r="Q70" s="263"/>
      <c r="R70" s="263"/>
      <c r="S70" s="263"/>
      <c r="T70" s="263"/>
      <c r="U70" s="263"/>
      <c r="V70" s="263"/>
      <c r="W70" s="263"/>
      <c r="X70" s="263"/>
    </row>
    <row r="71" spans="6:24" ht="15" x14ac:dyDescent="0.25">
      <c r="F71" s="395"/>
      <c r="G71" s="395"/>
      <c r="H71" s="263"/>
      <c r="I71" s="263"/>
      <c r="J71" s="263"/>
      <c r="K71" s="263"/>
      <c r="L71" s="263"/>
      <c r="M71" s="263"/>
      <c r="N71" s="263"/>
      <c r="O71" s="263"/>
      <c r="P71" s="263"/>
      <c r="Q71" s="263"/>
      <c r="R71" s="263"/>
      <c r="S71" s="263"/>
      <c r="T71" s="263"/>
      <c r="U71" s="263"/>
      <c r="V71" s="263"/>
      <c r="W71" s="263"/>
      <c r="X71" s="263"/>
    </row>
    <row r="72" spans="6:24" ht="15" x14ac:dyDescent="0.25">
      <c r="F72" s="395"/>
      <c r="G72" s="395"/>
      <c r="H72" s="263"/>
      <c r="I72" s="263"/>
      <c r="J72" s="263"/>
      <c r="K72" s="263"/>
      <c r="L72" s="263"/>
      <c r="M72" s="263"/>
      <c r="N72" s="263"/>
      <c r="O72" s="263"/>
      <c r="P72" s="263"/>
      <c r="Q72" s="263"/>
      <c r="R72" s="263"/>
      <c r="S72" s="263"/>
      <c r="T72" s="263"/>
      <c r="U72" s="263"/>
      <c r="V72" s="263"/>
      <c r="W72" s="263"/>
      <c r="X72" s="263"/>
    </row>
    <row r="73" spans="6:24" ht="15" x14ac:dyDescent="0.25">
      <c r="F73" s="395"/>
      <c r="G73" s="395"/>
      <c r="H73" s="263"/>
      <c r="I73" s="263"/>
      <c r="J73" s="263"/>
      <c r="K73" s="263"/>
      <c r="L73" s="263"/>
      <c r="M73" s="263"/>
      <c r="N73" s="263"/>
      <c r="O73" s="263"/>
      <c r="P73" s="263"/>
      <c r="Q73" s="263"/>
      <c r="R73" s="263"/>
      <c r="S73" s="263"/>
      <c r="T73" s="263"/>
      <c r="U73" s="263"/>
      <c r="V73" s="263"/>
      <c r="W73" s="263"/>
      <c r="X73" s="263"/>
    </row>
    <row r="74" spans="6:24" ht="15" x14ac:dyDescent="0.25">
      <c r="F74" s="395"/>
      <c r="G74" s="395"/>
      <c r="H74" s="263"/>
      <c r="I74" s="263"/>
      <c r="J74" s="263"/>
      <c r="K74" s="263"/>
      <c r="L74" s="263"/>
      <c r="M74" s="263"/>
      <c r="N74" s="263"/>
      <c r="O74" s="263"/>
      <c r="P74" s="263"/>
      <c r="Q74" s="263"/>
      <c r="R74" s="263"/>
      <c r="S74" s="263"/>
      <c r="T74" s="263"/>
      <c r="U74" s="263"/>
      <c r="V74" s="263"/>
      <c r="W74" s="263"/>
      <c r="X74" s="263"/>
    </row>
    <row r="75" spans="6:24" ht="15" x14ac:dyDescent="0.25">
      <c r="F75" s="395"/>
      <c r="G75" s="395"/>
      <c r="H75" s="263"/>
      <c r="I75" s="263"/>
      <c r="J75" s="263"/>
      <c r="K75" s="263"/>
      <c r="L75" s="263"/>
      <c r="M75" s="263"/>
      <c r="N75" s="263"/>
      <c r="O75" s="263"/>
      <c r="P75" s="263"/>
      <c r="Q75" s="263"/>
      <c r="R75" s="263"/>
      <c r="S75" s="263"/>
      <c r="T75" s="263"/>
      <c r="U75" s="263"/>
      <c r="V75" s="263"/>
      <c r="W75" s="263"/>
      <c r="X75" s="263"/>
    </row>
    <row r="76" spans="6:24" ht="15" x14ac:dyDescent="0.25">
      <c r="F76" s="395"/>
      <c r="G76" s="395"/>
      <c r="H76" s="263"/>
      <c r="I76" s="263"/>
      <c r="J76" s="263"/>
      <c r="K76" s="263"/>
      <c r="L76" s="263"/>
      <c r="M76" s="263"/>
      <c r="N76" s="263"/>
      <c r="O76" s="263"/>
      <c r="P76" s="263"/>
      <c r="Q76" s="263"/>
      <c r="R76" s="263"/>
      <c r="S76" s="263"/>
      <c r="T76" s="263"/>
      <c r="U76" s="263"/>
      <c r="V76" s="263"/>
      <c r="W76" s="263"/>
      <c r="X76" s="263"/>
    </row>
    <row r="77" spans="6:24" ht="15" x14ac:dyDescent="0.25">
      <c r="F77" s="395" t="s">
        <v>730</v>
      </c>
      <c r="G77" s="399" t="s">
        <v>395</v>
      </c>
      <c r="H77" s="399" t="s">
        <v>409</v>
      </c>
      <c r="I77" s="399" t="s">
        <v>409</v>
      </c>
      <c r="J77" s="399" t="s">
        <v>409</v>
      </c>
      <c r="K77" s="399" t="s">
        <v>409</v>
      </c>
      <c r="L77" s="399" t="s">
        <v>418</v>
      </c>
      <c r="M77" s="399" t="s">
        <v>418</v>
      </c>
      <c r="N77" s="399" t="s">
        <v>418</v>
      </c>
      <c r="O77" s="399" t="s">
        <v>418</v>
      </c>
      <c r="P77" s="399" t="s">
        <v>405</v>
      </c>
      <c r="Q77" s="399" t="s">
        <v>405</v>
      </c>
      <c r="R77" s="399" t="s">
        <v>405</v>
      </c>
      <c r="S77" s="399" t="s">
        <v>405</v>
      </c>
      <c r="T77" s="399" t="s">
        <v>413</v>
      </c>
      <c r="U77" s="399" t="s">
        <v>413</v>
      </c>
      <c r="V77" s="399" t="s">
        <v>413</v>
      </c>
      <c r="W77" s="399" t="s">
        <v>413</v>
      </c>
      <c r="X77" s="263"/>
    </row>
    <row r="78" spans="6:24" ht="15" x14ac:dyDescent="0.25">
      <c r="F78" s="395"/>
      <c r="G78" s="399" t="s">
        <v>666</v>
      </c>
      <c r="H78" s="399" t="s">
        <v>425</v>
      </c>
      <c r="I78" s="399" t="s">
        <v>425</v>
      </c>
      <c r="J78" s="399" t="s">
        <v>425</v>
      </c>
      <c r="K78" s="399" t="s">
        <v>425</v>
      </c>
      <c r="L78" s="399" t="s">
        <v>425</v>
      </c>
      <c r="M78" s="399" t="s">
        <v>425</v>
      </c>
      <c r="N78" s="399" t="s">
        <v>425</v>
      </c>
      <c r="O78" s="399" t="s">
        <v>425</v>
      </c>
      <c r="P78" s="399" t="s">
        <v>425</v>
      </c>
      <c r="Q78" s="399" t="s">
        <v>425</v>
      </c>
      <c r="R78" s="399" t="s">
        <v>425</v>
      </c>
      <c r="S78" s="399" t="s">
        <v>425</v>
      </c>
      <c r="T78" s="399" t="s">
        <v>425</v>
      </c>
      <c r="U78" s="399" t="s">
        <v>425</v>
      </c>
      <c r="V78" s="399" t="s">
        <v>425</v>
      </c>
      <c r="W78" s="399" t="s">
        <v>425</v>
      </c>
      <c r="X78" s="263"/>
    </row>
    <row r="79" spans="6:24" ht="15" x14ac:dyDescent="0.25">
      <c r="F79" s="395"/>
      <c r="G79" s="395" t="s">
        <v>533</v>
      </c>
      <c r="H79" s="395">
        <v>0</v>
      </c>
      <c r="I79" s="206">
        <v>1</v>
      </c>
      <c r="J79" s="206">
        <v>2</v>
      </c>
      <c r="K79" s="206">
        <v>3</v>
      </c>
      <c r="L79" s="206">
        <v>0</v>
      </c>
      <c r="M79" s="206">
        <v>1</v>
      </c>
      <c r="N79" s="206">
        <v>2</v>
      </c>
      <c r="O79" s="206">
        <v>3</v>
      </c>
      <c r="P79" s="206">
        <v>0</v>
      </c>
      <c r="Q79" s="206">
        <v>1</v>
      </c>
      <c r="R79" s="206">
        <v>2</v>
      </c>
      <c r="S79" s="206">
        <v>3</v>
      </c>
      <c r="T79" s="206">
        <v>0</v>
      </c>
      <c r="U79" s="206">
        <v>1</v>
      </c>
      <c r="V79" s="206">
        <v>2</v>
      </c>
      <c r="W79" s="206">
        <v>3</v>
      </c>
      <c r="X79" s="263"/>
    </row>
    <row r="80" spans="6:24" ht="15" x14ac:dyDescent="0.25">
      <c r="F80" s="395"/>
      <c r="G80" s="395" t="s">
        <v>667</v>
      </c>
      <c r="H80" s="394">
        <f>H82*I80/I82</f>
        <v>17.412675374939525</v>
      </c>
      <c r="I80" s="459">
        <f>J80*2.5</f>
        <v>14.054378326076442</v>
      </c>
      <c r="J80" s="459">
        <f>J22</f>
        <v>5.6217513304305768</v>
      </c>
      <c r="K80" s="459" t="e">
        <f>K22</f>
        <v>#REF!</v>
      </c>
      <c r="L80" s="394" t="e">
        <f>L82*M80/M82</f>
        <v>#REF!</v>
      </c>
      <c r="M80" s="459" t="e">
        <f>N80*2.5</f>
        <v>#REF!</v>
      </c>
      <c r="N80" s="459" t="e">
        <f>P22</f>
        <v>#REF!</v>
      </c>
      <c r="O80" s="459" t="e">
        <f>Q22</f>
        <v>#REF!</v>
      </c>
      <c r="P80" s="459" t="e">
        <f>Q80*2.5</f>
        <v>#REF!</v>
      </c>
      <c r="Q80" s="459" t="e">
        <f>R80*2.5</f>
        <v>#REF!</v>
      </c>
      <c r="R80" s="459" t="e">
        <f>V22</f>
        <v>#REF!</v>
      </c>
      <c r="S80" s="459" t="e">
        <f>W22</f>
        <v>#REF!</v>
      </c>
      <c r="T80" s="459" t="e">
        <f>U80*2.5</f>
        <v>#REF!</v>
      </c>
      <c r="U80" s="459" t="e">
        <f>V80*2.5</f>
        <v>#REF!</v>
      </c>
      <c r="V80" s="459" t="e">
        <f>AB22</f>
        <v>#REF!</v>
      </c>
      <c r="W80" s="459" t="e">
        <f>AC22</f>
        <v>#REF!</v>
      </c>
      <c r="X80" s="263"/>
    </row>
    <row r="81" spans="2:24" ht="15" x14ac:dyDescent="0.25">
      <c r="B81" s="395"/>
      <c r="C81" s="395"/>
      <c r="D81" s="395"/>
      <c r="E81" s="395"/>
      <c r="F81" s="395"/>
      <c r="G81" s="395" t="s">
        <v>668</v>
      </c>
      <c r="H81" s="205">
        <f>I81</f>
        <v>0.91486343844834406</v>
      </c>
      <c r="I81" s="205">
        <f>J81</f>
        <v>0.91486343844834406</v>
      </c>
      <c r="J81" s="459">
        <f>J23</f>
        <v>0.91486343844834406</v>
      </c>
      <c r="K81" s="459">
        <f>K23</f>
        <v>0.91486343844834406</v>
      </c>
      <c r="L81" s="205">
        <f>M81</f>
        <v>0.85017587417442564</v>
      </c>
      <c r="M81" s="205">
        <f>N81</f>
        <v>0.85017587417442564</v>
      </c>
      <c r="N81" s="459">
        <f>P23</f>
        <v>0.85017587417442564</v>
      </c>
      <c r="O81" s="459">
        <f>Q23</f>
        <v>0.91486343844834406</v>
      </c>
      <c r="P81" s="205">
        <f>Q81</f>
        <v>0.85017587417442564</v>
      </c>
      <c r="Q81" s="459">
        <f>R81</f>
        <v>0.85017587417442564</v>
      </c>
      <c r="R81" s="459">
        <f>V23</f>
        <v>0.85017587417442564</v>
      </c>
      <c r="S81" s="459">
        <f>W23</f>
        <v>0.91486343844834406</v>
      </c>
      <c r="T81" s="205">
        <f>U81</f>
        <v>0.85017587417442564</v>
      </c>
      <c r="U81" s="459">
        <f>V81</f>
        <v>0.85017587417442564</v>
      </c>
      <c r="V81" s="459">
        <f>AB23</f>
        <v>0.85017587417442564</v>
      </c>
      <c r="W81" s="459">
        <f>AC23</f>
        <v>0.91486343844834406</v>
      </c>
      <c r="X81" s="263"/>
    </row>
    <row r="82" spans="2:24" x14ac:dyDescent="0.2">
      <c r="B82" s="395"/>
      <c r="C82" s="395"/>
      <c r="D82" s="395"/>
      <c r="E82" s="395"/>
      <c r="F82" s="395"/>
      <c r="G82" s="395" t="s">
        <v>524</v>
      </c>
      <c r="H82" s="394">
        <f t="shared" ref="H82:I86" si="4">H22</f>
        <v>21.765844218674406</v>
      </c>
      <c r="I82" s="459">
        <f t="shared" si="4"/>
        <v>17.567972907595554</v>
      </c>
      <c r="J82" s="459">
        <v>0</v>
      </c>
      <c r="K82" s="459">
        <v>0</v>
      </c>
      <c r="L82" s="394">
        <f>N22</f>
        <v>10</v>
      </c>
      <c r="M82" s="459" t="e">
        <f>O22</f>
        <v>#REF!</v>
      </c>
      <c r="N82" s="459">
        <v>0</v>
      </c>
      <c r="O82" s="459">
        <v>0</v>
      </c>
      <c r="P82" s="459">
        <f>T22</f>
        <v>10</v>
      </c>
      <c r="Q82" s="459" t="e">
        <f>U22</f>
        <v>#REF!</v>
      </c>
      <c r="R82" s="459">
        <v>0</v>
      </c>
      <c r="S82" s="459">
        <v>0</v>
      </c>
      <c r="T82" s="459">
        <f>Z22</f>
        <v>10</v>
      </c>
      <c r="U82" s="459" t="e">
        <f>AA22</f>
        <v>#REF!</v>
      </c>
      <c r="V82" s="459">
        <v>0</v>
      </c>
      <c r="W82" s="459">
        <v>0</v>
      </c>
      <c r="X82" s="395"/>
    </row>
    <row r="83" spans="2:24" x14ac:dyDescent="0.2">
      <c r="B83" s="395"/>
      <c r="C83" s="395"/>
      <c r="D83" s="395"/>
      <c r="E83" s="395"/>
      <c r="F83" s="395"/>
      <c r="G83" s="395" t="s">
        <v>525</v>
      </c>
      <c r="H83" s="394">
        <f t="shared" si="4"/>
        <v>2.5977596155329672</v>
      </c>
      <c r="I83" s="459">
        <f t="shared" si="4"/>
        <v>2.2363328495403967</v>
      </c>
      <c r="J83" s="459">
        <v>0</v>
      </c>
      <c r="K83" s="459">
        <v>0</v>
      </c>
      <c r="L83" s="394">
        <f t="shared" ref="L83:L86" si="5">N23</f>
        <v>2.5977596155329672</v>
      </c>
      <c r="M83" s="459">
        <f>O23</f>
        <v>2.0782076924263739</v>
      </c>
      <c r="N83" s="459">
        <v>0</v>
      </c>
      <c r="O83" s="459">
        <v>0</v>
      </c>
      <c r="P83" s="459">
        <f t="shared" ref="P83:P86" si="6">T23</f>
        <v>2.5977596155329672</v>
      </c>
      <c r="Q83" s="459">
        <f>U23</f>
        <v>2.0782076924263739</v>
      </c>
      <c r="R83" s="459">
        <v>0</v>
      </c>
      <c r="S83" s="459">
        <v>0</v>
      </c>
      <c r="T83" s="459">
        <f t="shared" ref="T83:T86" si="7">Z23</f>
        <v>2.5977596155329672</v>
      </c>
      <c r="U83" s="459">
        <f>AA23</f>
        <v>2.0782076924263739</v>
      </c>
      <c r="V83" s="459">
        <v>0</v>
      </c>
      <c r="W83" s="459">
        <v>0</v>
      </c>
      <c r="X83" s="395"/>
    </row>
    <row r="84" spans="2:24" x14ac:dyDescent="0.2">
      <c r="B84" s="395"/>
      <c r="C84" s="395"/>
      <c r="D84" s="395"/>
      <c r="E84" s="395"/>
      <c r="F84" s="395"/>
      <c r="G84" s="395" t="s">
        <v>528</v>
      </c>
      <c r="H84" s="394">
        <f t="shared" si="4"/>
        <v>8.0865989356555392</v>
      </c>
      <c r="I84" s="459">
        <f t="shared" si="4"/>
        <v>7.961490082244798</v>
      </c>
      <c r="J84" s="459">
        <f t="shared" ref="J84:K86" si="8">J24</f>
        <v>5.5730430575713585</v>
      </c>
      <c r="K84" s="459" t="e">
        <f t="shared" si="8"/>
        <v>#REF!</v>
      </c>
      <c r="L84" s="394">
        <f t="shared" si="5"/>
        <v>8</v>
      </c>
      <c r="M84" s="459">
        <f>O24</f>
        <v>7.961490082244798</v>
      </c>
      <c r="N84" s="459">
        <f t="shared" ref="N84:O86" si="9">P24</f>
        <v>5.5730430575713585</v>
      </c>
      <c r="O84" s="459" t="e">
        <f t="shared" si="9"/>
        <v>#REF!</v>
      </c>
      <c r="P84" s="459">
        <f t="shared" si="6"/>
        <v>18</v>
      </c>
      <c r="Q84" s="459">
        <f>U24</f>
        <v>17.913352685050796</v>
      </c>
      <c r="R84" s="459">
        <f t="shared" ref="R84:S86" si="10">V24</f>
        <v>12.539346879535557</v>
      </c>
      <c r="S84" s="459" t="e">
        <f t="shared" si="10"/>
        <v>#REF!</v>
      </c>
      <c r="T84" s="459">
        <f t="shared" si="7"/>
        <v>18</v>
      </c>
      <c r="U84" s="459">
        <f>AA24</f>
        <v>7.961490082244798</v>
      </c>
      <c r="V84" s="459">
        <f t="shared" ref="V84:W86" si="11">AB24</f>
        <v>5.5730430575713585</v>
      </c>
      <c r="W84" s="459" t="e">
        <f t="shared" si="11"/>
        <v>#REF!</v>
      </c>
      <c r="X84" s="395"/>
    </row>
    <row r="85" spans="2:24" x14ac:dyDescent="0.2">
      <c r="B85" s="395"/>
      <c r="C85" s="395"/>
      <c r="D85" s="395"/>
      <c r="E85" s="395"/>
      <c r="F85" s="395"/>
      <c r="G85" s="395" t="s">
        <v>527</v>
      </c>
      <c r="H85" s="394" t="e">
        <f t="shared" si="4"/>
        <v>#REF!</v>
      </c>
      <c r="I85" s="459">
        <f t="shared" si="4"/>
        <v>20.054450895016931</v>
      </c>
      <c r="J85" s="459">
        <f t="shared" si="8"/>
        <v>15.24552491533623</v>
      </c>
      <c r="K85" s="459">
        <f t="shared" si="8"/>
        <v>15.18505079825834</v>
      </c>
      <c r="L85" s="394">
        <f t="shared" si="5"/>
        <v>33.043944313099523</v>
      </c>
      <c r="M85" s="459">
        <f>O25</f>
        <v>20.054450895016931</v>
      </c>
      <c r="N85" s="459">
        <f t="shared" si="9"/>
        <v>15.24552491533623</v>
      </c>
      <c r="O85" s="459">
        <f t="shared" si="9"/>
        <v>15.18505079825834</v>
      </c>
      <c r="P85" s="459">
        <f t="shared" si="6"/>
        <v>12</v>
      </c>
      <c r="Q85" s="459">
        <f>U25</f>
        <v>20.054450895016931</v>
      </c>
      <c r="R85" s="459">
        <f t="shared" si="10"/>
        <v>15.24552491533623</v>
      </c>
      <c r="S85" s="459">
        <f t="shared" si="10"/>
        <v>15.18505079825834</v>
      </c>
      <c r="T85" s="459">
        <f t="shared" si="7"/>
        <v>12</v>
      </c>
      <c r="U85" s="459">
        <f>AA25</f>
        <v>20.054450895016931</v>
      </c>
      <c r="V85" s="459">
        <f t="shared" si="11"/>
        <v>15.24552491533623</v>
      </c>
      <c r="W85" s="459">
        <f t="shared" si="11"/>
        <v>15.18505079825834</v>
      </c>
      <c r="X85" s="395"/>
    </row>
    <row r="86" spans="2:24" x14ac:dyDescent="0.2">
      <c r="B86" s="395"/>
      <c r="C86" s="395"/>
      <c r="D86" s="395"/>
      <c r="E86" s="395"/>
      <c r="F86" s="395"/>
      <c r="G86" s="395" t="s">
        <v>526</v>
      </c>
      <c r="H86" s="394">
        <f t="shared" si="4"/>
        <v>0</v>
      </c>
      <c r="I86" s="459">
        <f t="shared" si="4"/>
        <v>0</v>
      </c>
      <c r="J86" s="459">
        <f t="shared" si="8"/>
        <v>0</v>
      </c>
      <c r="K86" s="459">
        <f t="shared" si="8"/>
        <v>0</v>
      </c>
      <c r="L86" s="394">
        <f t="shared" si="5"/>
        <v>0</v>
      </c>
      <c r="M86" s="459">
        <f>O26</f>
        <v>0</v>
      </c>
      <c r="N86" s="459">
        <f t="shared" si="9"/>
        <v>0</v>
      </c>
      <c r="O86" s="459">
        <f t="shared" si="9"/>
        <v>0</v>
      </c>
      <c r="P86" s="459">
        <f t="shared" si="6"/>
        <v>0</v>
      </c>
      <c r="Q86" s="459">
        <f>U26</f>
        <v>0</v>
      </c>
      <c r="R86" s="459">
        <f t="shared" si="10"/>
        <v>0</v>
      </c>
      <c r="S86" s="459">
        <f t="shared" si="10"/>
        <v>0</v>
      </c>
      <c r="T86" s="459">
        <f t="shared" si="7"/>
        <v>0</v>
      </c>
      <c r="U86" s="459">
        <f>AA26</f>
        <v>0</v>
      </c>
      <c r="V86" s="459">
        <f t="shared" si="11"/>
        <v>0</v>
      </c>
      <c r="W86" s="459">
        <f t="shared" si="11"/>
        <v>0</v>
      </c>
      <c r="X86" s="395"/>
    </row>
    <row r="87" spans="2:24" x14ac:dyDescent="0.2">
      <c r="B87" s="395"/>
      <c r="C87" s="395"/>
      <c r="D87" s="395"/>
      <c r="E87" s="395"/>
      <c r="F87" s="395"/>
      <c r="G87" s="395"/>
      <c r="H87" s="395"/>
      <c r="I87" s="395"/>
      <c r="J87" s="395"/>
      <c r="K87" s="395"/>
      <c r="L87" s="395"/>
      <c r="M87" s="395"/>
      <c r="N87" s="395"/>
      <c r="O87" s="395"/>
      <c r="P87" s="395"/>
      <c r="Q87" s="395"/>
      <c r="R87" s="395"/>
      <c r="S87" s="395"/>
      <c r="T87" s="395"/>
      <c r="U87" s="395"/>
      <c r="V87" s="395"/>
      <c r="W87" s="395"/>
      <c r="X87" s="395"/>
    </row>
  </sheetData>
  <mergeCells count="1">
    <mergeCell ref="I5:L5"/>
  </mergeCells>
  <conditionalFormatting sqref="H29:K29 N29:Q29 T29:W29 Z29:AC29">
    <cfRule type="cellIs" dxfId="0" priority="1" operator="lessThan">
      <formula>$H$30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EE043-85D1-46FF-B416-53A62BB654FB}">
  <sheetPr>
    <pageSetUpPr fitToPage="1"/>
  </sheetPr>
  <dimension ref="A1:AB341"/>
  <sheetViews>
    <sheetView workbookViewId="0"/>
  </sheetViews>
  <sheetFormatPr defaultRowHeight="15" x14ac:dyDescent="0.25"/>
  <cols>
    <col min="1" max="1" width="28.7109375" customWidth="1"/>
    <col min="2" max="2" width="8.7109375" style="15" hidden="1" customWidth="1"/>
    <col min="3" max="4" width="8.7109375" hidden="1" customWidth="1"/>
    <col min="5" max="5" width="8.7109375" style="15" hidden="1" customWidth="1"/>
    <col min="6" max="7" width="8.7109375" hidden="1" customWidth="1"/>
    <col min="8" max="8" width="8.7109375" style="15" hidden="1" customWidth="1"/>
    <col min="9" max="11" width="8.7109375" hidden="1" customWidth="1"/>
    <col min="12" max="13" width="8.7109375" style="15" hidden="1" customWidth="1"/>
    <col min="14" max="14" width="8.7109375" hidden="1" customWidth="1"/>
    <col min="15" max="16" width="8.7109375" style="15" hidden="1" customWidth="1"/>
    <col min="17" max="17" width="8.7109375" hidden="1" customWidth="1"/>
    <col min="18" max="19" width="8.7109375" style="15" hidden="1" customWidth="1"/>
    <col min="20" max="20" width="8.7109375" style="15" customWidth="1"/>
    <col min="21" max="21" width="8.7109375" style="24" customWidth="1"/>
    <col min="22" max="22" width="8.7109375" customWidth="1"/>
    <col min="23" max="23" width="8.7109375" style="15" customWidth="1"/>
    <col min="24" max="24" width="8.7109375" style="24" customWidth="1"/>
    <col min="25" max="25" width="8.7109375" customWidth="1"/>
    <col min="26" max="26" width="8.7109375" style="15" customWidth="1"/>
    <col min="27" max="27" width="8.7109375" style="24" customWidth="1"/>
    <col min="28" max="28" width="8.7109375" customWidth="1"/>
  </cols>
  <sheetData>
    <row r="1" spans="1:28" x14ac:dyDescent="0.25">
      <c r="A1" s="23" t="s">
        <v>87</v>
      </c>
      <c r="B1" s="264"/>
      <c r="C1" s="263"/>
      <c r="D1" s="263"/>
      <c r="E1" s="264"/>
      <c r="F1" s="263"/>
      <c r="G1" s="263"/>
      <c r="H1" s="264"/>
      <c r="I1" s="263"/>
      <c r="J1" s="263"/>
      <c r="K1" s="263"/>
      <c r="L1" s="264"/>
      <c r="M1" s="264"/>
      <c r="N1" s="263"/>
      <c r="O1" s="264"/>
      <c r="P1" s="264"/>
      <c r="Q1" s="263"/>
      <c r="R1" s="264"/>
      <c r="S1" s="264"/>
      <c r="T1" s="264"/>
      <c r="V1" s="263"/>
      <c r="W1" s="264"/>
      <c r="Y1" s="263"/>
      <c r="Z1" s="264"/>
      <c r="AB1" s="263"/>
    </row>
    <row r="2" spans="1:28" ht="27" customHeight="1" x14ac:dyDescent="0.25">
      <c r="A2" s="631" t="s">
        <v>88</v>
      </c>
      <c r="B2" s="631"/>
      <c r="C2" s="631"/>
      <c r="D2" s="631"/>
      <c r="E2" s="631"/>
      <c r="F2" s="631"/>
      <c r="G2" s="631"/>
      <c r="H2" s="631"/>
      <c r="I2" s="631"/>
      <c r="J2" s="631"/>
      <c r="K2" s="55"/>
      <c r="L2" s="55"/>
      <c r="M2" s="55"/>
      <c r="N2" s="263"/>
      <c r="O2" s="263"/>
      <c r="P2" s="263"/>
      <c r="Q2" s="263"/>
      <c r="R2" s="263"/>
      <c r="S2" s="263"/>
      <c r="T2" s="55"/>
      <c r="U2" s="55"/>
      <c r="V2" s="55"/>
      <c r="W2" s="263"/>
      <c r="X2" s="263"/>
      <c r="Y2" s="263"/>
      <c r="Z2" s="263"/>
      <c r="AA2" s="263"/>
      <c r="AB2" s="263"/>
    </row>
    <row r="3" spans="1:28" ht="48" customHeight="1" x14ac:dyDescent="0.25">
      <c r="A3" s="390"/>
      <c r="B3" s="639" t="s">
        <v>89</v>
      </c>
      <c r="C3" s="639"/>
      <c r="D3" s="639"/>
      <c r="E3" s="639"/>
      <c r="F3" s="639"/>
      <c r="G3" s="639"/>
      <c r="H3" s="639"/>
      <c r="I3" s="639"/>
      <c r="J3" s="639"/>
      <c r="K3" s="639" t="s">
        <v>90</v>
      </c>
      <c r="L3" s="639"/>
      <c r="M3" s="639"/>
      <c r="N3" s="639"/>
      <c r="O3" s="639"/>
      <c r="P3" s="639"/>
      <c r="Q3" s="639"/>
      <c r="R3" s="639"/>
      <c r="S3" s="639"/>
      <c r="T3" s="639" t="s">
        <v>91</v>
      </c>
      <c r="U3" s="639"/>
      <c r="V3" s="639"/>
      <c r="W3" s="639"/>
      <c r="X3" s="639"/>
      <c r="Y3" s="639"/>
      <c r="Z3" s="639"/>
      <c r="AA3" s="639"/>
      <c r="AB3" s="639"/>
    </row>
    <row r="4" spans="1:28" ht="51" customHeight="1" thickBot="1" x14ac:dyDescent="0.3">
      <c r="A4" s="25"/>
      <c r="B4" s="26" t="s">
        <v>92</v>
      </c>
      <c r="C4" s="198" t="s">
        <v>93</v>
      </c>
      <c r="D4" s="198" t="s">
        <v>94</v>
      </c>
      <c r="E4" s="26" t="s">
        <v>95</v>
      </c>
      <c r="F4" s="198" t="s">
        <v>96</v>
      </c>
      <c r="G4" s="198" t="s">
        <v>97</v>
      </c>
      <c r="H4" s="26" t="s">
        <v>98</v>
      </c>
      <c r="I4" s="198" t="s">
        <v>99</v>
      </c>
      <c r="J4" s="198" t="s">
        <v>100</v>
      </c>
      <c r="K4" s="26" t="s">
        <v>92</v>
      </c>
      <c r="L4" s="198" t="s">
        <v>93</v>
      </c>
      <c r="M4" s="198" t="s">
        <v>94</v>
      </c>
      <c r="N4" s="26" t="s">
        <v>95</v>
      </c>
      <c r="O4" s="198" t="s">
        <v>96</v>
      </c>
      <c r="P4" s="198" t="s">
        <v>97</v>
      </c>
      <c r="Q4" s="26" t="s">
        <v>98</v>
      </c>
      <c r="R4" s="198" t="s">
        <v>99</v>
      </c>
      <c r="S4" s="198" t="s">
        <v>100</v>
      </c>
      <c r="T4" s="26" t="s">
        <v>92</v>
      </c>
      <c r="U4" s="198" t="s">
        <v>93</v>
      </c>
      <c r="V4" s="198" t="s">
        <v>94</v>
      </c>
      <c r="W4" s="26" t="s">
        <v>95</v>
      </c>
      <c r="X4" s="198" t="s">
        <v>96</v>
      </c>
      <c r="Y4" s="198" t="s">
        <v>97</v>
      </c>
      <c r="Z4" s="26" t="s">
        <v>98</v>
      </c>
      <c r="AA4" s="198" t="s">
        <v>99</v>
      </c>
      <c r="AB4" s="198" t="s">
        <v>100</v>
      </c>
    </row>
    <row r="5" spans="1:28" ht="24" customHeight="1" thickTop="1" x14ac:dyDescent="0.25">
      <c r="A5" s="27" t="s">
        <v>14</v>
      </c>
      <c r="B5" s="28">
        <v>51</v>
      </c>
      <c r="C5" s="28">
        <v>170</v>
      </c>
      <c r="D5" s="28">
        <v>174</v>
      </c>
      <c r="E5" s="28">
        <v>75</v>
      </c>
      <c r="F5" s="28">
        <v>287</v>
      </c>
      <c r="G5" s="28">
        <v>71</v>
      </c>
      <c r="H5" s="28">
        <v>173</v>
      </c>
      <c r="I5" s="28">
        <v>67</v>
      </c>
      <c r="J5" s="28">
        <v>176</v>
      </c>
      <c r="K5" s="28">
        <v>4192</v>
      </c>
      <c r="L5" s="28">
        <v>11099</v>
      </c>
      <c r="M5" s="28">
        <v>12544</v>
      </c>
      <c r="N5" s="28">
        <v>6016</v>
      </c>
      <c r="O5" s="28">
        <v>17608</v>
      </c>
      <c r="P5" s="28">
        <v>4824</v>
      </c>
      <c r="Q5" s="28">
        <v>10594</v>
      </c>
      <c r="R5" s="28">
        <v>4812</v>
      </c>
      <c r="S5" s="28">
        <v>13180</v>
      </c>
      <c r="T5" s="30">
        <v>12.1</v>
      </c>
      <c r="U5" s="30">
        <v>15.3</v>
      </c>
      <c r="V5" s="30">
        <v>13.9</v>
      </c>
      <c r="W5" s="30">
        <v>12.5</v>
      </c>
      <c r="X5" s="30">
        <v>16.3</v>
      </c>
      <c r="Y5" s="30">
        <v>14.6</v>
      </c>
      <c r="Z5" s="30">
        <v>16.3</v>
      </c>
      <c r="AA5" s="30">
        <v>13.9</v>
      </c>
      <c r="AB5" s="30">
        <v>13.3</v>
      </c>
    </row>
    <row r="6" spans="1:28" ht="24" customHeight="1" x14ac:dyDescent="0.25">
      <c r="A6" s="31" t="s">
        <v>101</v>
      </c>
      <c r="B6" s="32" t="s">
        <v>16</v>
      </c>
      <c r="C6" s="32" t="s">
        <v>16</v>
      </c>
      <c r="D6" s="32" t="s">
        <v>16</v>
      </c>
      <c r="E6" s="32" t="s">
        <v>16</v>
      </c>
      <c r="F6" s="32" t="s">
        <v>16</v>
      </c>
      <c r="G6" s="32" t="s">
        <v>16</v>
      </c>
      <c r="H6" s="32" t="s">
        <v>16</v>
      </c>
      <c r="I6" s="32" t="s">
        <v>16</v>
      </c>
      <c r="J6" s="32" t="s">
        <v>16</v>
      </c>
      <c r="K6" s="32" t="s">
        <v>16</v>
      </c>
      <c r="L6" s="32" t="s">
        <v>16</v>
      </c>
      <c r="M6" s="32" t="s">
        <v>16</v>
      </c>
      <c r="N6" s="32" t="s">
        <v>16</v>
      </c>
      <c r="O6" s="32" t="s">
        <v>16</v>
      </c>
      <c r="P6" s="32" t="s">
        <v>16</v>
      </c>
      <c r="Q6" s="32" t="s">
        <v>16</v>
      </c>
      <c r="R6" s="32" t="s">
        <v>16</v>
      </c>
      <c r="S6" s="32" t="s">
        <v>16</v>
      </c>
      <c r="T6" s="34" t="s">
        <v>16</v>
      </c>
      <c r="U6" s="34" t="s">
        <v>16</v>
      </c>
      <c r="V6" s="34" t="s">
        <v>16</v>
      </c>
      <c r="W6" s="34" t="s">
        <v>16</v>
      </c>
      <c r="X6" s="34" t="s">
        <v>16</v>
      </c>
      <c r="Y6" s="34" t="s">
        <v>16</v>
      </c>
      <c r="Z6" s="34" t="s">
        <v>16</v>
      </c>
      <c r="AA6" s="34" t="s">
        <v>16</v>
      </c>
      <c r="AB6" s="34" t="s">
        <v>16</v>
      </c>
    </row>
    <row r="7" spans="1:28" ht="15" customHeight="1" x14ac:dyDescent="0.25">
      <c r="A7" s="35" t="s">
        <v>102</v>
      </c>
      <c r="B7" s="36">
        <v>5</v>
      </c>
      <c r="C7" s="36">
        <v>10</v>
      </c>
      <c r="D7" s="36">
        <v>16</v>
      </c>
      <c r="E7" s="36">
        <v>9</v>
      </c>
      <c r="F7" s="36">
        <v>35</v>
      </c>
      <c r="G7" s="36">
        <v>11</v>
      </c>
      <c r="H7" s="36">
        <v>19</v>
      </c>
      <c r="I7" s="36">
        <v>7</v>
      </c>
      <c r="J7" s="36">
        <v>17</v>
      </c>
      <c r="K7" s="36">
        <v>368</v>
      </c>
      <c r="L7" s="36">
        <v>628</v>
      </c>
      <c r="M7" s="36">
        <v>995</v>
      </c>
      <c r="N7" s="36">
        <v>718</v>
      </c>
      <c r="O7" s="36">
        <v>1450</v>
      </c>
      <c r="P7" s="36">
        <v>589</v>
      </c>
      <c r="Q7" s="36">
        <v>1127</v>
      </c>
      <c r="R7" s="36">
        <v>488</v>
      </c>
      <c r="S7" s="36">
        <v>1129</v>
      </c>
      <c r="T7" s="38">
        <v>14.4</v>
      </c>
      <c r="U7" s="38">
        <v>15.4</v>
      </c>
      <c r="V7" s="38">
        <v>16.3</v>
      </c>
      <c r="W7" s="38">
        <v>12.3</v>
      </c>
      <c r="X7" s="38">
        <v>24.3</v>
      </c>
      <c r="Y7" s="38">
        <v>19.5</v>
      </c>
      <c r="Z7" s="38">
        <v>16.8</v>
      </c>
      <c r="AA7" s="38">
        <v>15</v>
      </c>
      <c r="AB7" s="38">
        <v>15.5</v>
      </c>
    </row>
    <row r="8" spans="1:28" ht="15" customHeight="1" x14ac:dyDescent="0.25">
      <c r="A8" s="35" t="s">
        <v>103</v>
      </c>
      <c r="B8" s="36">
        <v>5</v>
      </c>
      <c r="C8" s="36">
        <v>9</v>
      </c>
      <c r="D8" s="36">
        <v>15</v>
      </c>
      <c r="E8" s="36">
        <v>7</v>
      </c>
      <c r="F8" s="36">
        <v>24</v>
      </c>
      <c r="G8" s="36">
        <v>7</v>
      </c>
      <c r="H8" s="36">
        <v>17</v>
      </c>
      <c r="I8" s="36">
        <v>9</v>
      </c>
      <c r="J8" s="36">
        <v>22</v>
      </c>
      <c r="K8" s="36">
        <v>527</v>
      </c>
      <c r="L8" s="36">
        <v>657</v>
      </c>
      <c r="M8" s="36">
        <v>1048</v>
      </c>
      <c r="N8" s="36">
        <v>767</v>
      </c>
      <c r="O8" s="36">
        <v>1666</v>
      </c>
      <c r="P8" s="36">
        <v>594</v>
      </c>
      <c r="Q8" s="36">
        <v>1035</v>
      </c>
      <c r="R8" s="36">
        <v>495</v>
      </c>
      <c r="S8" s="36">
        <v>1700</v>
      </c>
      <c r="T8" s="38">
        <v>9.6999999999999993</v>
      </c>
      <c r="U8" s="38">
        <v>13.3</v>
      </c>
      <c r="V8" s="38">
        <v>14.1</v>
      </c>
      <c r="W8" s="38">
        <v>8.8000000000000007</v>
      </c>
      <c r="X8" s="38">
        <v>14.3</v>
      </c>
      <c r="Y8" s="38">
        <v>11.5</v>
      </c>
      <c r="Z8" s="38">
        <v>16.399999999999999</v>
      </c>
      <c r="AA8" s="38">
        <v>17.5</v>
      </c>
      <c r="AB8" s="38">
        <v>12.7</v>
      </c>
    </row>
    <row r="9" spans="1:28" ht="15" customHeight="1" x14ac:dyDescent="0.25">
      <c r="A9" s="35" t="s">
        <v>104</v>
      </c>
      <c r="B9" s="36">
        <v>8</v>
      </c>
      <c r="C9" s="36">
        <v>16</v>
      </c>
      <c r="D9" s="36">
        <v>20</v>
      </c>
      <c r="E9" s="36">
        <v>10</v>
      </c>
      <c r="F9" s="36">
        <v>34</v>
      </c>
      <c r="G9" s="36">
        <v>13</v>
      </c>
      <c r="H9" s="36">
        <v>20</v>
      </c>
      <c r="I9" s="36">
        <v>8</v>
      </c>
      <c r="J9" s="36">
        <v>28</v>
      </c>
      <c r="K9" s="36">
        <v>858</v>
      </c>
      <c r="L9" s="36">
        <v>1470</v>
      </c>
      <c r="M9" s="36">
        <v>1799</v>
      </c>
      <c r="N9" s="36">
        <v>1051</v>
      </c>
      <c r="O9" s="36">
        <v>2577</v>
      </c>
      <c r="P9" s="36">
        <v>769</v>
      </c>
      <c r="Q9" s="36">
        <v>1620</v>
      </c>
      <c r="R9" s="36">
        <v>870</v>
      </c>
      <c r="S9" s="36">
        <v>2551</v>
      </c>
      <c r="T9" s="38">
        <v>9.6999999999999993</v>
      </c>
      <c r="U9" s="38">
        <v>10.9</v>
      </c>
      <c r="V9" s="38">
        <v>11.4</v>
      </c>
      <c r="W9" s="38">
        <v>9.8000000000000007</v>
      </c>
      <c r="X9" s="38">
        <v>13.3</v>
      </c>
      <c r="Y9" s="38">
        <v>16.8</v>
      </c>
      <c r="Z9" s="38">
        <v>12.6</v>
      </c>
      <c r="AA9" s="38">
        <v>9.4</v>
      </c>
      <c r="AB9" s="38">
        <v>11</v>
      </c>
    </row>
    <row r="10" spans="1:28" ht="15" customHeight="1" x14ac:dyDescent="0.25">
      <c r="A10" s="35" t="s">
        <v>105</v>
      </c>
      <c r="B10" s="36">
        <v>8</v>
      </c>
      <c r="C10" s="36">
        <v>10</v>
      </c>
      <c r="D10" s="36">
        <v>23</v>
      </c>
      <c r="E10" s="36">
        <v>10</v>
      </c>
      <c r="F10" s="36">
        <v>36</v>
      </c>
      <c r="G10" s="36">
        <v>8</v>
      </c>
      <c r="H10" s="36">
        <v>25</v>
      </c>
      <c r="I10" s="36">
        <v>5</v>
      </c>
      <c r="J10" s="36">
        <v>24</v>
      </c>
      <c r="K10" s="36">
        <v>626</v>
      </c>
      <c r="L10" s="36">
        <v>1002</v>
      </c>
      <c r="M10" s="36">
        <v>2040</v>
      </c>
      <c r="N10" s="36">
        <v>958</v>
      </c>
      <c r="O10" s="36">
        <v>2257</v>
      </c>
      <c r="P10" s="36">
        <v>490</v>
      </c>
      <c r="Q10" s="36">
        <v>1584</v>
      </c>
      <c r="R10" s="36">
        <v>467</v>
      </c>
      <c r="S10" s="36">
        <v>2249</v>
      </c>
      <c r="T10" s="38">
        <v>12.5</v>
      </c>
      <c r="U10" s="38">
        <v>10.5</v>
      </c>
      <c r="V10" s="38">
        <v>11.4</v>
      </c>
      <c r="W10" s="38">
        <v>10.5</v>
      </c>
      <c r="X10" s="38">
        <v>15.8</v>
      </c>
      <c r="Y10" s="38">
        <v>16.600000000000001</v>
      </c>
      <c r="Z10" s="38">
        <v>15.7</v>
      </c>
      <c r="AA10" s="38">
        <v>10.199999999999999</v>
      </c>
      <c r="AB10" s="38">
        <v>10.7</v>
      </c>
    </row>
    <row r="11" spans="1:28" ht="15" customHeight="1" x14ac:dyDescent="0.25">
      <c r="A11" s="35" t="s">
        <v>106</v>
      </c>
      <c r="B11" s="36">
        <v>6</v>
      </c>
      <c r="C11" s="36">
        <v>31</v>
      </c>
      <c r="D11" s="36">
        <v>25</v>
      </c>
      <c r="E11" s="36">
        <v>15</v>
      </c>
      <c r="F11" s="36">
        <v>48</v>
      </c>
      <c r="G11" s="36">
        <v>10</v>
      </c>
      <c r="H11" s="36">
        <v>29</v>
      </c>
      <c r="I11" s="36">
        <v>10</v>
      </c>
      <c r="J11" s="36">
        <v>18</v>
      </c>
      <c r="K11" s="36">
        <v>598</v>
      </c>
      <c r="L11" s="36">
        <v>2078</v>
      </c>
      <c r="M11" s="36">
        <v>1768</v>
      </c>
      <c r="N11" s="36">
        <v>920</v>
      </c>
      <c r="O11" s="36">
        <v>3049</v>
      </c>
      <c r="P11" s="36">
        <v>985</v>
      </c>
      <c r="Q11" s="36">
        <v>1844</v>
      </c>
      <c r="R11" s="36">
        <v>725</v>
      </c>
      <c r="S11" s="36">
        <v>1636</v>
      </c>
      <c r="T11" s="38">
        <v>9.8000000000000007</v>
      </c>
      <c r="U11" s="38">
        <v>14.9</v>
      </c>
      <c r="V11" s="38">
        <v>13.9</v>
      </c>
      <c r="W11" s="38">
        <v>16.3</v>
      </c>
      <c r="X11" s="38">
        <v>15.8</v>
      </c>
      <c r="Y11" s="38">
        <v>10.3</v>
      </c>
      <c r="Z11" s="38">
        <v>15.9</v>
      </c>
      <c r="AA11" s="38">
        <v>13.1</v>
      </c>
      <c r="AB11" s="38">
        <v>11.1</v>
      </c>
    </row>
    <row r="12" spans="1:28" ht="15" customHeight="1" x14ac:dyDescent="0.25">
      <c r="A12" s="35" t="s">
        <v>107</v>
      </c>
      <c r="B12" s="36">
        <v>6</v>
      </c>
      <c r="C12" s="36">
        <v>38</v>
      </c>
      <c r="D12" s="36">
        <v>26</v>
      </c>
      <c r="E12" s="36">
        <v>8</v>
      </c>
      <c r="F12" s="36">
        <v>40</v>
      </c>
      <c r="G12" s="36">
        <v>8</v>
      </c>
      <c r="H12" s="36">
        <v>26</v>
      </c>
      <c r="I12" s="36">
        <v>6</v>
      </c>
      <c r="J12" s="36">
        <v>32</v>
      </c>
      <c r="K12" s="36">
        <v>418</v>
      </c>
      <c r="L12" s="36">
        <v>2101</v>
      </c>
      <c r="M12" s="36">
        <v>1771</v>
      </c>
      <c r="N12" s="36">
        <v>628</v>
      </c>
      <c r="O12" s="36">
        <v>2817</v>
      </c>
      <c r="P12" s="36">
        <v>577</v>
      </c>
      <c r="Q12" s="36">
        <v>1727</v>
      </c>
      <c r="R12" s="36">
        <v>447</v>
      </c>
      <c r="S12" s="36">
        <v>1875</v>
      </c>
      <c r="T12" s="38">
        <v>14.5</v>
      </c>
      <c r="U12" s="38">
        <v>18.2</v>
      </c>
      <c r="V12" s="38">
        <v>14.6</v>
      </c>
      <c r="W12" s="38">
        <v>13.1</v>
      </c>
      <c r="X12" s="38">
        <v>14.1</v>
      </c>
      <c r="Y12" s="38">
        <v>13.4</v>
      </c>
      <c r="Z12" s="38">
        <v>14.9</v>
      </c>
      <c r="AA12" s="38">
        <v>13.8</v>
      </c>
      <c r="AB12" s="38">
        <v>17</v>
      </c>
    </row>
    <row r="13" spans="1:28" ht="15" customHeight="1" x14ac:dyDescent="0.25">
      <c r="A13" s="35" t="s">
        <v>108</v>
      </c>
      <c r="B13" s="36">
        <v>9</v>
      </c>
      <c r="C13" s="36">
        <v>29</v>
      </c>
      <c r="D13" s="36">
        <v>30</v>
      </c>
      <c r="E13" s="36">
        <v>10</v>
      </c>
      <c r="F13" s="36">
        <v>38</v>
      </c>
      <c r="G13" s="36">
        <v>8</v>
      </c>
      <c r="H13" s="36">
        <v>24</v>
      </c>
      <c r="I13" s="36">
        <v>11</v>
      </c>
      <c r="J13" s="36">
        <v>22</v>
      </c>
      <c r="K13" s="36">
        <v>597</v>
      </c>
      <c r="L13" s="36">
        <v>1636</v>
      </c>
      <c r="M13" s="36">
        <v>2079</v>
      </c>
      <c r="N13" s="36">
        <v>597</v>
      </c>
      <c r="O13" s="36">
        <v>2089</v>
      </c>
      <c r="P13" s="36">
        <v>503</v>
      </c>
      <c r="Q13" s="36">
        <v>1067</v>
      </c>
      <c r="R13" s="36">
        <v>774</v>
      </c>
      <c r="S13" s="36">
        <v>1310</v>
      </c>
      <c r="T13" s="38">
        <v>14.8</v>
      </c>
      <c r="U13" s="38">
        <v>17.5</v>
      </c>
      <c r="V13" s="38">
        <v>14.3</v>
      </c>
      <c r="W13" s="38">
        <v>16.8</v>
      </c>
      <c r="X13" s="38">
        <v>18</v>
      </c>
      <c r="Y13" s="38">
        <v>16.399999999999999</v>
      </c>
      <c r="Z13" s="38">
        <v>22.4</v>
      </c>
      <c r="AA13" s="38">
        <v>14.9</v>
      </c>
      <c r="AB13" s="38">
        <v>16.7</v>
      </c>
    </row>
    <row r="14" spans="1:28" ht="15" customHeight="1" x14ac:dyDescent="0.25">
      <c r="A14" s="35" t="s">
        <v>109</v>
      </c>
      <c r="B14" s="36" t="s">
        <v>28</v>
      </c>
      <c r="C14" s="36">
        <v>27</v>
      </c>
      <c r="D14" s="36">
        <v>20</v>
      </c>
      <c r="E14" s="36">
        <v>6</v>
      </c>
      <c r="F14" s="36">
        <v>32</v>
      </c>
      <c r="G14" s="36">
        <v>5</v>
      </c>
      <c r="H14" s="36">
        <v>13</v>
      </c>
      <c r="I14" s="36" t="s">
        <v>28</v>
      </c>
      <c r="J14" s="36">
        <v>13</v>
      </c>
      <c r="K14" s="36" t="s">
        <v>28</v>
      </c>
      <c r="L14" s="36">
        <v>1526</v>
      </c>
      <c r="M14" s="36">
        <v>1042</v>
      </c>
      <c r="N14" s="36">
        <v>376</v>
      </c>
      <c r="O14" s="36">
        <v>1702</v>
      </c>
      <c r="P14" s="36" t="s">
        <v>28</v>
      </c>
      <c r="Q14" s="36">
        <v>591</v>
      </c>
      <c r="R14" s="36">
        <v>546</v>
      </c>
      <c r="S14" s="36">
        <v>731</v>
      </c>
      <c r="T14" s="38" t="s">
        <v>28</v>
      </c>
      <c r="U14" s="38">
        <v>17.7</v>
      </c>
      <c r="V14" s="38">
        <v>18.899999999999999</v>
      </c>
      <c r="W14" s="38">
        <v>15.3</v>
      </c>
      <c r="X14" s="38">
        <v>19</v>
      </c>
      <c r="Y14" s="38">
        <v>16.399999999999999</v>
      </c>
      <c r="Z14" s="38">
        <v>21.5</v>
      </c>
      <c r="AA14" s="38">
        <v>20.100000000000001</v>
      </c>
      <c r="AB14" s="38">
        <v>17.600000000000001</v>
      </c>
    </row>
    <row r="15" spans="1:28" ht="24" customHeight="1" x14ac:dyDescent="0.25">
      <c r="A15" s="31" t="s">
        <v>110</v>
      </c>
      <c r="B15" s="32" t="s">
        <v>16</v>
      </c>
      <c r="C15" s="32" t="s">
        <v>16</v>
      </c>
      <c r="D15" s="32" t="s">
        <v>16</v>
      </c>
      <c r="E15" s="32" t="s">
        <v>16</v>
      </c>
      <c r="F15" s="32" t="s">
        <v>16</v>
      </c>
      <c r="G15" s="32" t="s">
        <v>16</v>
      </c>
      <c r="H15" s="32" t="s">
        <v>16</v>
      </c>
      <c r="I15" s="32" t="s">
        <v>16</v>
      </c>
      <c r="J15" s="32" t="s">
        <v>16</v>
      </c>
      <c r="K15" s="32" t="s">
        <v>16</v>
      </c>
      <c r="L15" s="32" t="s">
        <v>16</v>
      </c>
      <c r="M15" s="32" t="s">
        <v>16</v>
      </c>
      <c r="N15" s="32" t="s">
        <v>16</v>
      </c>
      <c r="O15" s="32" t="s">
        <v>16</v>
      </c>
      <c r="P15" s="32" t="s">
        <v>16</v>
      </c>
      <c r="Q15" s="32" t="s">
        <v>16</v>
      </c>
      <c r="R15" s="32" t="s">
        <v>16</v>
      </c>
      <c r="S15" s="32" t="s">
        <v>16</v>
      </c>
      <c r="T15" s="34" t="s">
        <v>16</v>
      </c>
      <c r="U15" s="34" t="s">
        <v>16</v>
      </c>
      <c r="V15" s="34" t="s">
        <v>16</v>
      </c>
      <c r="W15" s="34" t="s">
        <v>16</v>
      </c>
      <c r="X15" s="34" t="s">
        <v>16</v>
      </c>
      <c r="Y15" s="34" t="s">
        <v>16</v>
      </c>
      <c r="Z15" s="34" t="s">
        <v>16</v>
      </c>
      <c r="AA15" s="34" t="s">
        <v>16</v>
      </c>
      <c r="AB15" s="34" t="s">
        <v>16</v>
      </c>
    </row>
    <row r="16" spans="1:28" ht="15" customHeight="1" x14ac:dyDescent="0.25">
      <c r="A16" s="35" t="s">
        <v>111</v>
      </c>
      <c r="B16" s="36">
        <v>4</v>
      </c>
      <c r="C16" s="36">
        <v>14</v>
      </c>
      <c r="D16" s="36">
        <v>20</v>
      </c>
      <c r="E16" s="36">
        <v>13</v>
      </c>
      <c r="F16" s="36">
        <v>36</v>
      </c>
      <c r="G16" s="36">
        <v>7</v>
      </c>
      <c r="H16" s="36">
        <v>23</v>
      </c>
      <c r="I16" s="36">
        <v>8</v>
      </c>
      <c r="J16" s="36">
        <v>10</v>
      </c>
      <c r="K16" s="36">
        <v>642</v>
      </c>
      <c r="L16" s="36">
        <v>1414</v>
      </c>
      <c r="M16" s="36">
        <v>2205</v>
      </c>
      <c r="N16" s="36">
        <v>968</v>
      </c>
      <c r="O16" s="36">
        <v>2840</v>
      </c>
      <c r="P16" s="36">
        <v>469</v>
      </c>
      <c r="Q16" s="36">
        <v>1853</v>
      </c>
      <c r="R16" s="36">
        <v>783</v>
      </c>
      <c r="S16" s="36">
        <v>1065</v>
      </c>
      <c r="T16" s="38">
        <v>6.7</v>
      </c>
      <c r="U16" s="38">
        <v>9.6</v>
      </c>
      <c r="V16" s="38">
        <v>9.1999999999999993</v>
      </c>
      <c r="W16" s="38">
        <v>13</v>
      </c>
      <c r="X16" s="38">
        <v>12.5</v>
      </c>
      <c r="Y16" s="38">
        <v>14.2</v>
      </c>
      <c r="Z16" s="38">
        <v>12.3</v>
      </c>
      <c r="AA16" s="38">
        <v>10.1</v>
      </c>
      <c r="AB16" s="38">
        <v>9.8000000000000007</v>
      </c>
    </row>
    <row r="17" spans="1:28" x14ac:dyDescent="0.25">
      <c r="A17" s="35" t="s">
        <v>24</v>
      </c>
      <c r="B17" s="36" t="s">
        <v>28</v>
      </c>
      <c r="C17" s="36" t="s">
        <v>28</v>
      </c>
      <c r="D17" s="36" t="s">
        <v>28</v>
      </c>
      <c r="E17" s="36" t="s">
        <v>28</v>
      </c>
      <c r="F17" s="36">
        <v>11</v>
      </c>
      <c r="G17" s="36" t="s">
        <v>28</v>
      </c>
      <c r="H17" s="36" t="s">
        <v>28</v>
      </c>
      <c r="I17" s="36" t="s">
        <v>28</v>
      </c>
      <c r="J17" s="36">
        <v>12</v>
      </c>
      <c r="K17" s="36" t="s">
        <v>28</v>
      </c>
      <c r="L17" s="36" t="s">
        <v>28</v>
      </c>
      <c r="M17" s="36" t="s">
        <v>28</v>
      </c>
      <c r="N17" s="36" t="s">
        <v>28</v>
      </c>
      <c r="O17" s="36">
        <v>188</v>
      </c>
      <c r="P17" s="36" t="s">
        <v>28</v>
      </c>
      <c r="Q17" s="36" t="s">
        <v>28</v>
      </c>
      <c r="R17" s="36" t="s">
        <v>28</v>
      </c>
      <c r="S17" s="36">
        <v>304</v>
      </c>
      <c r="T17" s="38" t="s">
        <v>28</v>
      </c>
      <c r="U17" s="38" t="s">
        <v>28</v>
      </c>
      <c r="V17" s="38" t="s">
        <v>28</v>
      </c>
      <c r="W17" s="38" t="s">
        <v>28</v>
      </c>
      <c r="X17" s="38">
        <v>56.5</v>
      </c>
      <c r="Y17" s="38" t="s">
        <v>28</v>
      </c>
      <c r="Z17" s="38" t="s">
        <v>28</v>
      </c>
      <c r="AA17" s="38" t="s">
        <v>28</v>
      </c>
      <c r="AB17" s="38">
        <v>39.299999999999997</v>
      </c>
    </row>
    <row r="18" spans="1:28" x14ac:dyDescent="0.25">
      <c r="A18" s="35" t="s">
        <v>29</v>
      </c>
      <c r="B18" s="36" t="s">
        <v>28</v>
      </c>
      <c r="C18" s="36">
        <v>7</v>
      </c>
      <c r="D18" s="36">
        <v>10</v>
      </c>
      <c r="E18" s="36">
        <v>6</v>
      </c>
      <c r="F18" s="36">
        <v>20</v>
      </c>
      <c r="G18" s="36">
        <v>6</v>
      </c>
      <c r="H18" s="36">
        <v>12</v>
      </c>
      <c r="I18" s="36">
        <v>4</v>
      </c>
      <c r="J18" s="36">
        <v>12</v>
      </c>
      <c r="K18" s="36" t="s">
        <v>28</v>
      </c>
      <c r="L18" s="36">
        <v>162</v>
      </c>
      <c r="M18" s="36">
        <v>217</v>
      </c>
      <c r="N18" s="36">
        <v>153</v>
      </c>
      <c r="O18" s="36">
        <v>396</v>
      </c>
      <c r="P18" s="36">
        <v>150</v>
      </c>
      <c r="Q18" s="36">
        <v>225</v>
      </c>
      <c r="R18" s="36">
        <v>104</v>
      </c>
      <c r="S18" s="36">
        <v>282</v>
      </c>
      <c r="T18" s="38" t="s">
        <v>28</v>
      </c>
      <c r="U18" s="38">
        <v>45.6</v>
      </c>
      <c r="V18" s="38">
        <v>48</v>
      </c>
      <c r="W18" s="38">
        <v>36.200000000000003</v>
      </c>
      <c r="X18" s="38">
        <v>50.9</v>
      </c>
      <c r="Y18" s="38">
        <v>40.5</v>
      </c>
      <c r="Z18" s="38">
        <v>53.7</v>
      </c>
      <c r="AA18" s="38">
        <v>35.299999999999997</v>
      </c>
      <c r="AB18" s="38">
        <v>43.2</v>
      </c>
    </row>
    <row r="19" spans="1:28" x14ac:dyDescent="0.25">
      <c r="A19" s="35" t="s">
        <v>34</v>
      </c>
      <c r="B19" s="36">
        <v>6</v>
      </c>
      <c r="C19" s="36">
        <v>17</v>
      </c>
      <c r="D19" s="36">
        <v>14</v>
      </c>
      <c r="E19" s="36">
        <v>8</v>
      </c>
      <c r="F19" s="36">
        <v>19</v>
      </c>
      <c r="G19" s="36">
        <v>8</v>
      </c>
      <c r="H19" s="36">
        <v>16</v>
      </c>
      <c r="I19" s="36">
        <v>6</v>
      </c>
      <c r="J19" s="36">
        <v>13</v>
      </c>
      <c r="K19" s="36">
        <v>274</v>
      </c>
      <c r="L19" s="36">
        <v>792</v>
      </c>
      <c r="M19" s="36">
        <v>549</v>
      </c>
      <c r="N19" s="36">
        <v>313</v>
      </c>
      <c r="O19" s="36">
        <v>662</v>
      </c>
      <c r="P19" s="36">
        <v>271</v>
      </c>
      <c r="Q19" s="36">
        <v>508</v>
      </c>
      <c r="R19" s="36">
        <v>289</v>
      </c>
      <c r="S19" s="36">
        <v>497</v>
      </c>
      <c r="T19" s="38">
        <v>21.7</v>
      </c>
      <c r="U19" s="38">
        <v>22.1</v>
      </c>
      <c r="V19" s="38">
        <v>25.4</v>
      </c>
      <c r="W19" s="38">
        <v>24.8</v>
      </c>
      <c r="X19" s="38">
        <v>28.3</v>
      </c>
      <c r="Y19" s="38">
        <v>28.7</v>
      </c>
      <c r="Z19" s="38">
        <v>31.5</v>
      </c>
      <c r="AA19" s="38">
        <v>20.399999999999999</v>
      </c>
      <c r="AB19" s="38">
        <v>27.1</v>
      </c>
    </row>
    <row r="20" spans="1:28" x14ac:dyDescent="0.25">
      <c r="A20" s="39" t="s">
        <v>35</v>
      </c>
      <c r="B20" s="36">
        <v>4</v>
      </c>
      <c r="C20" s="36">
        <v>10</v>
      </c>
      <c r="D20" s="36">
        <v>10</v>
      </c>
      <c r="E20" s="36">
        <v>4</v>
      </c>
      <c r="F20" s="36">
        <v>13</v>
      </c>
      <c r="G20" s="36">
        <v>6</v>
      </c>
      <c r="H20" s="36">
        <v>12</v>
      </c>
      <c r="I20" s="36">
        <v>4</v>
      </c>
      <c r="J20" s="36">
        <v>11</v>
      </c>
      <c r="K20" s="36">
        <v>169</v>
      </c>
      <c r="L20" s="36">
        <v>369</v>
      </c>
      <c r="M20" s="36">
        <v>359</v>
      </c>
      <c r="N20" s="36">
        <v>137</v>
      </c>
      <c r="O20" s="36">
        <v>405</v>
      </c>
      <c r="P20" s="36">
        <v>184</v>
      </c>
      <c r="Q20" s="36">
        <v>304</v>
      </c>
      <c r="R20" s="36">
        <v>132</v>
      </c>
      <c r="S20" s="36">
        <v>315</v>
      </c>
      <c r="T20" s="38">
        <v>26.5</v>
      </c>
      <c r="U20" s="38">
        <v>26.1</v>
      </c>
      <c r="V20" s="38">
        <v>28.7</v>
      </c>
      <c r="W20" s="38">
        <v>29.2</v>
      </c>
      <c r="X20" s="38">
        <v>31.7</v>
      </c>
      <c r="Y20" s="38">
        <v>34.299999999999997</v>
      </c>
      <c r="Z20" s="38">
        <v>38</v>
      </c>
      <c r="AA20" s="38">
        <v>27.8</v>
      </c>
      <c r="AB20" s="38">
        <v>34.4</v>
      </c>
    </row>
    <row r="21" spans="1:28" x14ac:dyDescent="0.25">
      <c r="A21" s="39" t="s">
        <v>36</v>
      </c>
      <c r="B21" s="36" t="s">
        <v>28</v>
      </c>
      <c r="C21" s="36">
        <v>8</v>
      </c>
      <c r="D21" s="36">
        <v>4</v>
      </c>
      <c r="E21" s="36" t="s">
        <v>28</v>
      </c>
      <c r="F21" s="36">
        <v>6</v>
      </c>
      <c r="G21" s="36" t="s">
        <v>28</v>
      </c>
      <c r="H21" s="36" t="s">
        <v>28</v>
      </c>
      <c r="I21" s="36">
        <v>2</v>
      </c>
      <c r="J21" s="36">
        <v>3</v>
      </c>
      <c r="K21" s="36" t="s">
        <v>28</v>
      </c>
      <c r="L21" s="36">
        <v>423</v>
      </c>
      <c r="M21" s="36">
        <v>190</v>
      </c>
      <c r="N21" s="36">
        <v>176</v>
      </c>
      <c r="O21" s="36">
        <v>257</v>
      </c>
      <c r="P21" s="36" t="s">
        <v>28</v>
      </c>
      <c r="Q21" s="36">
        <v>204</v>
      </c>
      <c r="R21" s="36">
        <v>157</v>
      </c>
      <c r="S21" s="36">
        <v>182</v>
      </c>
      <c r="T21" s="38" t="s">
        <v>28</v>
      </c>
      <c r="U21" s="38">
        <v>18.600000000000001</v>
      </c>
      <c r="V21" s="38">
        <v>18.899999999999999</v>
      </c>
      <c r="W21" s="38">
        <v>21.3</v>
      </c>
      <c r="X21" s="38">
        <v>23.1</v>
      </c>
      <c r="Y21" s="38" t="s">
        <v>28</v>
      </c>
      <c r="Z21" s="38">
        <v>21.9</v>
      </c>
      <c r="AA21" s="38">
        <v>14.1</v>
      </c>
      <c r="AB21" s="38">
        <v>14.5</v>
      </c>
    </row>
    <row r="22" spans="1:28" x14ac:dyDescent="0.25">
      <c r="A22" s="35" t="s">
        <v>39</v>
      </c>
      <c r="B22" s="36" t="s">
        <v>28</v>
      </c>
      <c r="C22" s="36">
        <v>10</v>
      </c>
      <c r="D22" s="36">
        <v>10</v>
      </c>
      <c r="E22" s="36">
        <v>7</v>
      </c>
      <c r="F22" s="36">
        <v>22</v>
      </c>
      <c r="G22" s="36">
        <v>7</v>
      </c>
      <c r="H22" s="36">
        <v>9</v>
      </c>
      <c r="I22" s="36" t="s">
        <v>28</v>
      </c>
      <c r="J22" s="36">
        <v>11</v>
      </c>
      <c r="K22" s="36" t="s">
        <v>28</v>
      </c>
      <c r="L22" s="36">
        <v>800</v>
      </c>
      <c r="M22" s="36">
        <v>673</v>
      </c>
      <c r="N22" s="36">
        <v>384</v>
      </c>
      <c r="O22" s="36">
        <v>1217</v>
      </c>
      <c r="P22" s="36">
        <v>486</v>
      </c>
      <c r="Q22" s="36">
        <v>599</v>
      </c>
      <c r="R22" s="36">
        <v>519</v>
      </c>
      <c r="S22" s="36">
        <v>940</v>
      </c>
      <c r="T22" s="38" t="s">
        <v>28</v>
      </c>
      <c r="U22" s="38">
        <v>12.9</v>
      </c>
      <c r="V22" s="38">
        <v>14.5</v>
      </c>
      <c r="W22" s="38">
        <v>17</v>
      </c>
      <c r="X22" s="38">
        <v>18.3</v>
      </c>
      <c r="Y22" s="38">
        <v>15</v>
      </c>
      <c r="Z22" s="38">
        <v>14.5</v>
      </c>
      <c r="AA22" s="38">
        <v>18.2</v>
      </c>
      <c r="AB22" s="38">
        <v>11.9</v>
      </c>
    </row>
    <row r="23" spans="1:28" x14ac:dyDescent="0.25">
      <c r="A23" s="35" t="s">
        <v>45</v>
      </c>
      <c r="B23" s="36">
        <v>6</v>
      </c>
      <c r="C23" s="36">
        <v>21</v>
      </c>
      <c r="D23" s="36">
        <v>30</v>
      </c>
      <c r="E23" s="36">
        <v>7</v>
      </c>
      <c r="F23" s="36">
        <v>56</v>
      </c>
      <c r="G23" s="36">
        <v>13</v>
      </c>
      <c r="H23" s="36">
        <v>24</v>
      </c>
      <c r="I23" s="36">
        <v>13</v>
      </c>
      <c r="J23" s="36">
        <v>36</v>
      </c>
      <c r="K23" s="36">
        <v>458</v>
      </c>
      <c r="L23" s="36">
        <v>1186</v>
      </c>
      <c r="M23" s="36">
        <v>1488</v>
      </c>
      <c r="N23" s="36">
        <v>644</v>
      </c>
      <c r="O23" s="36">
        <v>2746</v>
      </c>
      <c r="P23" s="36">
        <v>736</v>
      </c>
      <c r="Q23" s="36">
        <v>1247</v>
      </c>
      <c r="R23" s="36">
        <v>727</v>
      </c>
      <c r="S23" s="36">
        <v>2088</v>
      </c>
      <c r="T23" s="38">
        <v>13.3</v>
      </c>
      <c r="U23" s="38">
        <v>17.5</v>
      </c>
      <c r="V23" s="38">
        <v>20</v>
      </c>
      <c r="W23" s="38">
        <v>11.6</v>
      </c>
      <c r="X23" s="38">
        <v>20.3</v>
      </c>
      <c r="Y23" s="38">
        <v>18</v>
      </c>
      <c r="Z23" s="38">
        <v>19.399999999999999</v>
      </c>
      <c r="AA23" s="38">
        <v>18.399999999999999</v>
      </c>
      <c r="AB23" s="38">
        <v>17.2</v>
      </c>
    </row>
    <row r="24" spans="1:28" ht="15" customHeight="1" x14ac:dyDescent="0.25">
      <c r="A24" s="39" t="s">
        <v>112</v>
      </c>
      <c r="B24" s="36" t="s">
        <v>28</v>
      </c>
      <c r="C24" s="36">
        <v>9</v>
      </c>
      <c r="D24" s="36">
        <v>13</v>
      </c>
      <c r="E24" s="36">
        <v>3</v>
      </c>
      <c r="F24" s="36">
        <v>16</v>
      </c>
      <c r="G24" s="36" t="s">
        <v>28</v>
      </c>
      <c r="H24" s="36">
        <v>11</v>
      </c>
      <c r="I24" s="36">
        <v>6</v>
      </c>
      <c r="J24" s="36">
        <v>15</v>
      </c>
      <c r="K24" s="36" t="s">
        <v>28</v>
      </c>
      <c r="L24" s="36">
        <v>667</v>
      </c>
      <c r="M24" s="36">
        <v>748</v>
      </c>
      <c r="N24" s="36">
        <v>394</v>
      </c>
      <c r="O24" s="36">
        <v>1052</v>
      </c>
      <c r="P24" s="36" t="s">
        <v>28</v>
      </c>
      <c r="Q24" s="36">
        <v>693</v>
      </c>
      <c r="R24" s="36">
        <v>307</v>
      </c>
      <c r="S24" s="36">
        <v>1030</v>
      </c>
      <c r="T24" s="38" t="s">
        <v>28</v>
      </c>
      <c r="U24" s="38">
        <v>12.9</v>
      </c>
      <c r="V24" s="38">
        <v>17.600000000000001</v>
      </c>
      <c r="W24" s="38">
        <v>7.3</v>
      </c>
      <c r="X24" s="38">
        <v>15</v>
      </c>
      <c r="Y24" s="38" t="s">
        <v>28</v>
      </c>
      <c r="Z24" s="38">
        <v>16.600000000000001</v>
      </c>
      <c r="AA24" s="38">
        <v>18.7</v>
      </c>
      <c r="AB24" s="38">
        <v>14.9</v>
      </c>
    </row>
    <row r="25" spans="1:28" ht="15" customHeight="1" x14ac:dyDescent="0.25">
      <c r="A25" s="39" t="s">
        <v>113</v>
      </c>
      <c r="B25" s="36" t="s">
        <v>28</v>
      </c>
      <c r="C25" s="36">
        <v>12</v>
      </c>
      <c r="D25" s="36">
        <v>17</v>
      </c>
      <c r="E25" s="36">
        <v>5</v>
      </c>
      <c r="F25" s="36">
        <v>40</v>
      </c>
      <c r="G25" s="36" t="s">
        <v>28</v>
      </c>
      <c r="H25" s="36">
        <v>13</v>
      </c>
      <c r="I25" s="36">
        <v>8</v>
      </c>
      <c r="J25" s="36">
        <v>21</v>
      </c>
      <c r="K25" s="36" t="s">
        <v>28</v>
      </c>
      <c r="L25" s="36">
        <v>518</v>
      </c>
      <c r="M25" s="36">
        <v>740</v>
      </c>
      <c r="N25" s="36">
        <v>250</v>
      </c>
      <c r="O25" s="36">
        <v>1694</v>
      </c>
      <c r="P25" s="36" t="s">
        <v>28</v>
      </c>
      <c r="Q25" s="36">
        <v>554</v>
      </c>
      <c r="R25" s="36">
        <v>420</v>
      </c>
      <c r="S25" s="36">
        <v>1058</v>
      </c>
      <c r="T25" s="38" t="s">
        <v>28</v>
      </c>
      <c r="U25" s="38">
        <v>23.4</v>
      </c>
      <c r="V25" s="38">
        <v>22.4</v>
      </c>
      <c r="W25" s="38">
        <v>18.5</v>
      </c>
      <c r="X25" s="38">
        <v>23.5</v>
      </c>
      <c r="Y25" s="38" t="s">
        <v>28</v>
      </c>
      <c r="Z25" s="38">
        <v>23</v>
      </c>
      <c r="AA25" s="38">
        <v>18.3</v>
      </c>
      <c r="AB25" s="38">
        <v>19.5</v>
      </c>
    </row>
    <row r="26" spans="1:28" ht="15" customHeight="1" x14ac:dyDescent="0.25">
      <c r="A26" s="35" t="s">
        <v>53</v>
      </c>
      <c r="B26" s="36">
        <v>9</v>
      </c>
      <c r="C26" s="36">
        <v>55</v>
      </c>
      <c r="D26" s="36">
        <v>38</v>
      </c>
      <c r="E26" s="36">
        <v>13</v>
      </c>
      <c r="F26" s="36">
        <v>48</v>
      </c>
      <c r="G26" s="36">
        <v>12</v>
      </c>
      <c r="H26" s="36">
        <v>28</v>
      </c>
      <c r="I26" s="36">
        <v>10</v>
      </c>
      <c r="J26" s="36">
        <v>40</v>
      </c>
      <c r="K26" s="36">
        <v>738</v>
      </c>
      <c r="L26" s="36">
        <v>2965</v>
      </c>
      <c r="M26" s="36">
        <v>2430</v>
      </c>
      <c r="N26" s="36">
        <v>904</v>
      </c>
      <c r="O26" s="36">
        <v>3183</v>
      </c>
      <c r="P26" s="36">
        <v>694</v>
      </c>
      <c r="Q26" s="36">
        <v>1625</v>
      </c>
      <c r="R26" s="36">
        <v>852</v>
      </c>
      <c r="S26" s="36">
        <v>2562</v>
      </c>
      <c r="T26" s="38">
        <v>11.6</v>
      </c>
      <c r="U26" s="38">
        <v>18.5</v>
      </c>
      <c r="V26" s="38">
        <v>15.8</v>
      </c>
      <c r="W26" s="38">
        <v>14.1</v>
      </c>
      <c r="X26" s="38">
        <v>15.1</v>
      </c>
      <c r="Y26" s="38">
        <v>16.899999999999999</v>
      </c>
      <c r="Z26" s="38">
        <v>17.399999999999999</v>
      </c>
      <c r="AA26" s="38">
        <v>12.2</v>
      </c>
      <c r="AB26" s="38">
        <v>15.8</v>
      </c>
    </row>
    <row r="27" spans="1:28" ht="15" customHeight="1" x14ac:dyDescent="0.25">
      <c r="A27" s="35" t="s">
        <v>60</v>
      </c>
      <c r="B27" s="36">
        <v>4</v>
      </c>
      <c r="C27" s="36">
        <v>9</v>
      </c>
      <c r="D27" s="36">
        <v>16</v>
      </c>
      <c r="E27" s="36">
        <v>5</v>
      </c>
      <c r="F27" s="36">
        <v>16</v>
      </c>
      <c r="G27" s="36">
        <v>3</v>
      </c>
      <c r="H27" s="36">
        <v>13</v>
      </c>
      <c r="I27" s="36">
        <v>5</v>
      </c>
      <c r="J27" s="36">
        <v>8</v>
      </c>
      <c r="K27" s="36">
        <v>350</v>
      </c>
      <c r="L27" s="36">
        <v>603</v>
      </c>
      <c r="M27" s="36">
        <v>1196</v>
      </c>
      <c r="N27" s="36">
        <v>390</v>
      </c>
      <c r="O27" s="36">
        <v>904</v>
      </c>
      <c r="P27" s="36">
        <v>330</v>
      </c>
      <c r="Q27" s="36">
        <v>769</v>
      </c>
      <c r="R27" s="36">
        <v>321</v>
      </c>
      <c r="S27" s="36">
        <v>697</v>
      </c>
      <c r="T27" s="38">
        <v>11.5</v>
      </c>
      <c r="U27" s="38">
        <v>15.6</v>
      </c>
      <c r="V27" s="38">
        <v>13.2</v>
      </c>
      <c r="W27" s="38">
        <v>13.3</v>
      </c>
      <c r="X27" s="38">
        <v>18.2</v>
      </c>
      <c r="Y27" s="38">
        <v>10</v>
      </c>
      <c r="Z27" s="38">
        <v>16.8</v>
      </c>
      <c r="AA27" s="38">
        <v>16.2</v>
      </c>
      <c r="AB27" s="38">
        <v>11.8</v>
      </c>
    </row>
    <row r="28" spans="1:28" ht="15" customHeight="1" x14ac:dyDescent="0.25">
      <c r="A28" s="35" t="s">
        <v>66</v>
      </c>
      <c r="B28" s="36" t="s">
        <v>28</v>
      </c>
      <c r="C28" s="36" t="s">
        <v>28</v>
      </c>
      <c r="D28" s="36" t="s">
        <v>28</v>
      </c>
      <c r="E28" s="36" t="s">
        <v>28</v>
      </c>
      <c r="F28" s="36" t="s">
        <v>28</v>
      </c>
      <c r="G28" s="36" t="s">
        <v>28</v>
      </c>
      <c r="H28" s="36" t="s">
        <v>28</v>
      </c>
      <c r="I28" s="36" t="s">
        <v>28</v>
      </c>
      <c r="J28" s="36" t="s">
        <v>28</v>
      </c>
      <c r="K28" s="36" t="s">
        <v>28</v>
      </c>
      <c r="L28" s="36" t="s">
        <v>28</v>
      </c>
      <c r="M28" s="36" t="s">
        <v>28</v>
      </c>
      <c r="N28" s="36" t="s">
        <v>28</v>
      </c>
      <c r="O28" s="36" t="s">
        <v>28</v>
      </c>
      <c r="P28" s="36" t="s">
        <v>28</v>
      </c>
      <c r="Q28" s="36" t="s">
        <v>28</v>
      </c>
      <c r="R28" s="36" t="s">
        <v>28</v>
      </c>
      <c r="S28" s="36" t="s">
        <v>28</v>
      </c>
      <c r="T28" s="38" t="s">
        <v>28</v>
      </c>
      <c r="U28" s="38" t="s">
        <v>28</v>
      </c>
      <c r="V28" s="38" t="s">
        <v>28</v>
      </c>
      <c r="W28" s="38" t="s">
        <v>28</v>
      </c>
      <c r="X28" s="38" t="s">
        <v>28</v>
      </c>
      <c r="Y28" s="38" t="s">
        <v>28</v>
      </c>
      <c r="Z28" s="38" t="s">
        <v>28</v>
      </c>
      <c r="AA28" s="38" t="s">
        <v>28</v>
      </c>
      <c r="AB28" s="38" t="s">
        <v>28</v>
      </c>
    </row>
    <row r="29" spans="1:28" ht="15" customHeight="1" x14ac:dyDescent="0.25">
      <c r="A29" s="35" t="s">
        <v>70</v>
      </c>
      <c r="B29" s="36" t="s">
        <v>28</v>
      </c>
      <c r="C29" s="36">
        <v>3</v>
      </c>
      <c r="D29" s="36">
        <v>3</v>
      </c>
      <c r="E29" s="36">
        <v>1</v>
      </c>
      <c r="F29" s="36">
        <v>6</v>
      </c>
      <c r="G29" s="36">
        <v>3</v>
      </c>
      <c r="H29" s="36">
        <v>3</v>
      </c>
      <c r="I29" s="36">
        <v>1</v>
      </c>
      <c r="J29" s="36">
        <v>2</v>
      </c>
      <c r="K29" s="36" t="s">
        <v>28</v>
      </c>
      <c r="L29" s="36">
        <v>613</v>
      </c>
      <c r="M29" s="36">
        <v>547</v>
      </c>
      <c r="N29" s="36">
        <v>378</v>
      </c>
      <c r="O29" s="36">
        <v>857</v>
      </c>
      <c r="P29" s="36">
        <v>614</v>
      </c>
      <c r="Q29" s="36">
        <v>540</v>
      </c>
      <c r="R29" s="36">
        <v>214</v>
      </c>
      <c r="S29" s="36">
        <v>511</v>
      </c>
      <c r="T29" s="38" t="s">
        <v>28</v>
      </c>
      <c r="U29" s="38">
        <v>5.5</v>
      </c>
      <c r="V29" s="38">
        <v>5.0999999999999996</v>
      </c>
      <c r="W29" s="38">
        <v>3.6</v>
      </c>
      <c r="X29" s="38">
        <v>6.9</v>
      </c>
      <c r="Y29" s="38">
        <v>5.2</v>
      </c>
      <c r="Z29" s="38">
        <v>5.6</v>
      </c>
      <c r="AA29" s="38">
        <v>4.4000000000000004</v>
      </c>
      <c r="AB29" s="38">
        <v>4.8</v>
      </c>
    </row>
    <row r="30" spans="1:28" ht="15" customHeight="1" x14ac:dyDescent="0.25">
      <c r="A30" s="35" t="s">
        <v>71</v>
      </c>
      <c r="B30" s="36">
        <v>2</v>
      </c>
      <c r="C30" s="36">
        <v>4</v>
      </c>
      <c r="D30" s="36">
        <v>6</v>
      </c>
      <c r="E30" s="36">
        <v>4</v>
      </c>
      <c r="F30" s="36">
        <v>9</v>
      </c>
      <c r="G30" s="36">
        <v>3</v>
      </c>
      <c r="H30" s="36">
        <v>4</v>
      </c>
      <c r="I30" s="36" t="s">
        <v>28</v>
      </c>
      <c r="J30" s="36">
        <v>5</v>
      </c>
      <c r="K30" s="36">
        <v>245</v>
      </c>
      <c r="L30" s="36">
        <v>568</v>
      </c>
      <c r="M30" s="36">
        <v>836</v>
      </c>
      <c r="N30" s="36">
        <v>613</v>
      </c>
      <c r="O30" s="36">
        <v>741</v>
      </c>
      <c r="P30" s="36">
        <v>318</v>
      </c>
      <c r="Q30" s="36">
        <v>498</v>
      </c>
      <c r="R30" s="36" t="s">
        <v>28</v>
      </c>
      <c r="S30" s="36">
        <v>578</v>
      </c>
      <c r="T30" s="38" t="s">
        <v>28</v>
      </c>
      <c r="U30" s="38">
        <v>6.4</v>
      </c>
      <c r="V30" s="38">
        <v>7.7</v>
      </c>
      <c r="W30" s="38">
        <v>6.7</v>
      </c>
      <c r="X30" s="38">
        <v>11.7</v>
      </c>
      <c r="Y30" s="38">
        <v>8.9</v>
      </c>
      <c r="Z30" s="38">
        <v>7.6</v>
      </c>
      <c r="AA30" s="38" t="s">
        <v>28</v>
      </c>
      <c r="AB30" s="38">
        <v>9.5</v>
      </c>
    </row>
    <row r="31" spans="1:28" ht="15" customHeight="1" x14ac:dyDescent="0.25">
      <c r="A31" s="35" t="s">
        <v>77</v>
      </c>
      <c r="B31" s="36">
        <v>2</v>
      </c>
      <c r="C31" s="36">
        <v>6</v>
      </c>
      <c r="D31" s="36">
        <v>10</v>
      </c>
      <c r="E31" s="36">
        <v>6</v>
      </c>
      <c r="F31" s="36">
        <v>19</v>
      </c>
      <c r="G31" s="36">
        <v>3</v>
      </c>
      <c r="H31" s="36">
        <v>20</v>
      </c>
      <c r="I31" s="36">
        <v>2</v>
      </c>
      <c r="J31" s="36">
        <v>14</v>
      </c>
      <c r="K31" s="36">
        <v>488</v>
      </c>
      <c r="L31" s="36">
        <v>1211</v>
      </c>
      <c r="M31" s="36">
        <v>1504</v>
      </c>
      <c r="N31" s="36">
        <v>891</v>
      </c>
      <c r="O31" s="36">
        <v>2706</v>
      </c>
      <c r="P31" s="36" t="s">
        <v>28</v>
      </c>
      <c r="Q31" s="36">
        <v>1850</v>
      </c>
      <c r="R31" s="36">
        <v>582</v>
      </c>
      <c r="S31" s="36">
        <v>2829</v>
      </c>
      <c r="T31" s="38">
        <v>4</v>
      </c>
      <c r="U31" s="38">
        <v>5.3</v>
      </c>
      <c r="V31" s="38">
        <v>6.7</v>
      </c>
      <c r="W31" s="38">
        <v>6.5</v>
      </c>
      <c r="X31" s="38">
        <v>7.1</v>
      </c>
      <c r="Y31" s="38">
        <v>6</v>
      </c>
      <c r="Z31" s="38">
        <v>11</v>
      </c>
      <c r="AA31" s="38">
        <v>4.0999999999999996</v>
      </c>
      <c r="AB31" s="38">
        <v>5</v>
      </c>
    </row>
    <row r="32" spans="1:28" ht="15" customHeight="1" x14ac:dyDescent="0.25">
      <c r="A32" s="35" t="s">
        <v>83</v>
      </c>
      <c r="B32" s="36" t="s">
        <v>28</v>
      </c>
      <c r="C32" s="36" t="s">
        <v>28</v>
      </c>
      <c r="D32" s="36" t="s">
        <v>28</v>
      </c>
      <c r="E32" s="36" t="s">
        <v>28</v>
      </c>
      <c r="F32" s="36">
        <v>18</v>
      </c>
      <c r="G32" s="36" t="s">
        <v>28</v>
      </c>
      <c r="H32" s="36" t="s">
        <v>28</v>
      </c>
      <c r="I32" s="36" t="s">
        <v>28</v>
      </c>
      <c r="J32" s="36">
        <v>7</v>
      </c>
      <c r="K32" s="36" t="s">
        <v>28</v>
      </c>
      <c r="L32" s="36" t="s">
        <v>28</v>
      </c>
      <c r="M32" s="36" t="s">
        <v>28</v>
      </c>
      <c r="N32" s="36" t="s">
        <v>28</v>
      </c>
      <c r="O32" s="36">
        <v>568</v>
      </c>
      <c r="P32" s="36" t="s">
        <v>28</v>
      </c>
      <c r="Q32" s="36" t="s">
        <v>28</v>
      </c>
      <c r="R32" s="36" t="s">
        <v>28</v>
      </c>
      <c r="S32" s="36">
        <v>345</v>
      </c>
      <c r="T32" s="38" t="s">
        <v>28</v>
      </c>
      <c r="U32" s="38" t="s">
        <v>28</v>
      </c>
      <c r="V32" s="38" t="s">
        <v>28</v>
      </c>
      <c r="W32" s="38" t="s">
        <v>28</v>
      </c>
      <c r="X32" s="38">
        <v>32.299999999999997</v>
      </c>
      <c r="Y32" s="38" t="s">
        <v>28</v>
      </c>
      <c r="Z32" s="38" t="s">
        <v>28</v>
      </c>
      <c r="AA32" s="38" t="s">
        <v>28</v>
      </c>
      <c r="AB32" s="38">
        <v>19.5</v>
      </c>
    </row>
    <row r="33" spans="1:28" ht="15" customHeight="1" x14ac:dyDescent="0.25">
      <c r="A33" s="35" t="s">
        <v>85</v>
      </c>
      <c r="B33" s="36" t="s">
        <v>28</v>
      </c>
      <c r="C33" s="36" t="s">
        <v>28</v>
      </c>
      <c r="D33" s="36" t="s">
        <v>28</v>
      </c>
      <c r="E33" s="36" t="s">
        <v>28</v>
      </c>
      <c r="F33" s="36">
        <v>2</v>
      </c>
      <c r="G33" s="36" t="s">
        <v>28</v>
      </c>
      <c r="H33" s="36" t="s">
        <v>28</v>
      </c>
      <c r="I33" s="36" t="s">
        <v>28</v>
      </c>
      <c r="J33" s="36">
        <v>1</v>
      </c>
      <c r="K33" s="36" t="s">
        <v>28</v>
      </c>
      <c r="L33" s="36" t="s">
        <v>28</v>
      </c>
      <c r="M33" s="36" t="s">
        <v>28</v>
      </c>
      <c r="N33" s="36" t="s">
        <v>28</v>
      </c>
      <c r="O33" s="36">
        <v>299</v>
      </c>
      <c r="P33" s="36" t="s">
        <v>28</v>
      </c>
      <c r="Q33" s="36" t="s">
        <v>28</v>
      </c>
      <c r="R33" s="36" t="s">
        <v>28</v>
      </c>
      <c r="S33" s="36">
        <v>306</v>
      </c>
      <c r="T33" s="38" t="s">
        <v>28</v>
      </c>
      <c r="U33" s="38" t="s">
        <v>28</v>
      </c>
      <c r="V33" s="38" t="s">
        <v>28</v>
      </c>
      <c r="W33" s="38" t="s">
        <v>28</v>
      </c>
      <c r="X33" s="38">
        <v>5.6</v>
      </c>
      <c r="Y33" s="38" t="s">
        <v>28</v>
      </c>
      <c r="Z33" s="38" t="s">
        <v>28</v>
      </c>
      <c r="AA33" s="38" t="s">
        <v>28</v>
      </c>
      <c r="AB33" s="38">
        <v>3.9</v>
      </c>
    </row>
    <row r="34" spans="1:28" ht="24" customHeight="1" x14ac:dyDescent="0.25">
      <c r="A34" s="40" t="s">
        <v>114</v>
      </c>
      <c r="B34" s="32" t="s">
        <v>16</v>
      </c>
      <c r="C34" s="32" t="s">
        <v>16</v>
      </c>
      <c r="D34" s="32" t="s">
        <v>16</v>
      </c>
      <c r="E34" s="32" t="s">
        <v>16</v>
      </c>
      <c r="F34" s="32" t="s">
        <v>16</v>
      </c>
      <c r="G34" s="32" t="s">
        <v>16</v>
      </c>
      <c r="H34" s="32" t="s">
        <v>16</v>
      </c>
      <c r="I34" s="32" t="s">
        <v>16</v>
      </c>
      <c r="J34" s="32" t="s">
        <v>16</v>
      </c>
      <c r="K34" s="32" t="s">
        <v>16</v>
      </c>
      <c r="L34" s="32" t="s">
        <v>16</v>
      </c>
      <c r="M34" s="32" t="s">
        <v>16</v>
      </c>
      <c r="N34" s="32" t="s">
        <v>16</v>
      </c>
      <c r="O34" s="32" t="s">
        <v>16</v>
      </c>
      <c r="P34" s="32" t="s">
        <v>16</v>
      </c>
      <c r="Q34" s="32" t="s">
        <v>16</v>
      </c>
      <c r="R34" s="32" t="s">
        <v>16</v>
      </c>
      <c r="S34" s="32" t="s">
        <v>16</v>
      </c>
      <c r="T34" s="34" t="s">
        <v>16</v>
      </c>
      <c r="U34" s="34" t="s">
        <v>16</v>
      </c>
      <c r="V34" s="34" t="s">
        <v>16</v>
      </c>
      <c r="W34" s="34" t="s">
        <v>16</v>
      </c>
      <c r="X34" s="34" t="s">
        <v>16</v>
      </c>
      <c r="Y34" s="34" t="s">
        <v>16</v>
      </c>
      <c r="Z34" s="34" t="s">
        <v>16</v>
      </c>
      <c r="AA34" s="34" t="s">
        <v>16</v>
      </c>
      <c r="AB34" s="34" t="s">
        <v>16</v>
      </c>
    </row>
    <row r="35" spans="1:28" ht="15" customHeight="1" x14ac:dyDescent="0.25">
      <c r="A35" s="35" t="s">
        <v>115</v>
      </c>
      <c r="B35" s="36">
        <v>5</v>
      </c>
      <c r="C35" s="36">
        <v>7</v>
      </c>
      <c r="D35" s="36">
        <v>4</v>
      </c>
      <c r="E35" s="36">
        <v>2</v>
      </c>
      <c r="F35" s="36">
        <v>6</v>
      </c>
      <c r="G35" s="36">
        <v>3</v>
      </c>
      <c r="H35" s="36">
        <v>2</v>
      </c>
      <c r="I35" s="36" t="s">
        <v>28</v>
      </c>
      <c r="J35" s="36">
        <v>2</v>
      </c>
      <c r="K35" s="36">
        <v>674</v>
      </c>
      <c r="L35" s="36">
        <v>904</v>
      </c>
      <c r="M35" s="36">
        <v>585</v>
      </c>
      <c r="N35" s="36">
        <v>380</v>
      </c>
      <c r="O35" s="36">
        <v>425</v>
      </c>
      <c r="P35" s="36" t="s">
        <v>28</v>
      </c>
      <c r="Q35" s="36">
        <v>259</v>
      </c>
      <c r="R35" s="36" t="s">
        <v>28</v>
      </c>
      <c r="S35" s="36">
        <v>205</v>
      </c>
      <c r="T35" s="38">
        <v>7.9</v>
      </c>
      <c r="U35" s="38">
        <v>7.8</v>
      </c>
      <c r="V35" s="38">
        <v>6.6</v>
      </c>
      <c r="W35" s="38">
        <v>6.1</v>
      </c>
      <c r="X35" s="38">
        <v>14.9</v>
      </c>
      <c r="Y35" s="38">
        <v>9.6</v>
      </c>
      <c r="Z35" s="38">
        <v>7.6</v>
      </c>
      <c r="AA35" s="38" t="s">
        <v>28</v>
      </c>
      <c r="AB35" s="38">
        <v>7.5</v>
      </c>
    </row>
    <row r="36" spans="1:28" ht="15" customHeight="1" x14ac:dyDescent="0.25">
      <c r="A36" s="35" t="s">
        <v>116</v>
      </c>
      <c r="B36" s="36">
        <v>3</v>
      </c>
      <c r="C36" s="36">
        <v>18</v>
      </c>
      <c r="D36" s="36">
        <v>13</v>
      </c>
      <c r="E36" s="36">
        <v>3</v>
      </c>
      <c r="F36" s="36">
        <v>8</v>
      </c>
      <c r="G36" s="36">
        <v>4</v>
      </c>
      <c r="H36" s="36">
        <v>6</v>
      </c>
      <c r="I36" s="36" t="s">
        <v>28</v>
      </c>
      <c r="J36" s="36">
        <v>8</v>
      </c>
      <c r="K36" s="36">
        <v>404</v>
      </c>
      <c r="L36" s="36">
        <v>1525</v>
      </c>
      <c r="M36" s="36">
        <v>1354</v>
      </c>
      <c r="N36" s="36">
        <v>370</v>
      </c>
      <c r="O36" s="36">
        <v>650</v>
      </c>
      <c r="P36" s="36">
        <v>215</v>
      </c>
      <c r="Q36" s="36">
        <v>570</v>
      </c>
      <c r="R36" s="36" t="s">
        <v>28</v>
      </c>
      <c r="S36" s="36">
        <v>648</v>
      </c>
      <c r="T36" s="38">
        <v>7.7</v>
      </c>
      <c r="U36" s="38">
        <v>11.8</v>
      </c>
      <c r="V36" s="38">
        <v>9.4</v>
      </c>
      <c r="W36" s="38">
        <v>8.5</v>
      </c>
      <c r="X36" s="38">
        <v>12.2</v>
      </c>
      <c r="Y36" s="38">
        <v>17.8</v>
      </c>
      <c r="Z36" s="38">
        <v>10.5</v>
      </c>
      <c r="AA36" s="38" t="s">
        <v>28</v>
      </c>
      <c r="AB36" s="38">
        <v>13.1</v>
      </c>
    </row>
    <row r="37" spans="1:28" ht="15" customHeight="1" x14ac:dyDescent="0.25">
      <c r="A37" s="35" t="s">
        <v>117</v>
      </c>
      <c r="B37" s="36">
        <v>4</v>
      </c>
      <c r="C37" s="36">
        <v>14</v>
      </c>
      <c r="D37" s="36">
        <v>14</v>
      </c>
      <c r="E37" s="36">
        <v>6</v>
      </c>
      <c r="F37" s="36">
        <v>16</v>
      </c>
      <c r="G37" s="36">
        <v>4</v>
      </c>
      <c r="H37" s="36">
        <v>11</v>
      </c>
      <c r="I37" s="36">
        <v>3</v>
      </c>
      <c r="J37" s="36">
        <v>14</v>
      </c>
      <c r="K37" s="36">
        <v>349</v>
      </c>
      <c r="L37" s="36">
        <v>1233</v>
      </c>
      <c r="M37" s="36">
        <v>1149</v>
      </c>
      <c r="N37" s="36">
        <v>502</v>
      </c>
      <c r="O37" s="36">
        <v>1424</v>
      </c>
      <c r="P37" s="36">
        <v>265</v>
      </c>
      <c r="Q37" s="36">
        <v>806</v>
      </c>
      <c r="R37" s="36">
        <v>314</v>
      </c>
      <c r="S37" s="36">
        <v>1167</v>
      </c>
      <c r="T37" s="38">
        <v>10.3</v>
      </c>
      <c r="U37" s="38">
        <v>11.1</v>
      </c>
      <c r="V37" s="38">
        <v>12.2</v>
      </c>
      <c r="W37" s="38">
        <v>12.4</v>
      </c>
      <c r="X37" s="38">
        <v>11.4</v>
      </c>
      <c r="Y37" s="38">
        <v>16.2</v>
      </c>
      <c r="Z37" s="38">
        <v>13.1</v>
      </c>
      <c r="AA37" s="38">
        <v>9</v>
      </c>
      <c r="AB37" s="38">
        <v>11.8</v>
      </c>
    </row>
    <row r="38" spans="1:28" ht="15" customHeight="1" x14ac:dyDescent="0.25">
      <c r="A38" s="35" t="s">
        <v>118</v>
      </c>
      <c r="B38" s="36">
        <v>6</v>
      </c>
      <c r="C38" s="36">
        <v>23</v>
      </c>
      <c r="D38" s="36">
        <v>18</v>
      </c>
      <c r="E38" s="36">
        <v>14</v>
      </c>
      <c r="F38" s="36">
        <v>34</v>
      </c>
      <c r="G38" s="36">
        <v>7</v>
      </c>
      <c r="H38" s="36">
        <v>16</v>
      </c>
      <c r="I38" s="36">
        <v>5</v>
      </c>
      <c r="J38" s="36">
        <v>24</v>
      </c>
      <c r="K38" s="36">
        <v>481</v>
      </c>
      <c r="L38" s="36">
        <v>1748</v>
      </c>
      <c r="M38" s="36">
        <v>1481</v>
      </c>
      <c r="N38" s="36">
        <v>1186</v>
      </c>
      <c r="O38" s="36">
        <v>1675</v>
      </c>
      <c r="P38" s="36">
        <v>682</v>
      </c>
      <c r="Q38" s="36">
        <v>1041</v>
      </c>
      <c r="R38" s="36">
        <v>406</v>
      </c>
      <c r="S38" s="36">
        <v>1498</v>
      </c>
      <c r="T38" s="38">
        <v>12</v>
      </c>
      <c r="U38" s="38">
        <v>13.3</v>
      </c>
      <c r="V38" s="38">
        <v>12.1</v>
      </c>
      <c r="W38" s="38">
        <v>11.5</v>
      </c>
      <c r="X38" s="38">
        <v>20.2</v>
      </c>
      <c r="Y38" s="38">
        <v>10.6</v>
      </c>
      <c r="Z38" s="38">
        <v>15.7</v>
      </c>
      <c r="AA38" s="38">
        <v>12.3</v>
      </c>
      <c r="AB38" s="38">
        <v>16.100000000000001</v>
      </c>
    </row>
    <row r="39" spans="1:28" ht="15" customHeight="1" x14ac:dyDescent="0.25">
      <c r="A39" s="35" t="s">
        <v>119</v>
      </c>
      <c r="B39" s="36">
        <v>9</v>
      </c>
      <c r="C39" s="36">
        <v>28</v>
      </c>
      <c r="D39" s="36">
        <v>33</v>
      </c>
      <c r="E39" s="36">
        <v>11</v>
      </c>
      <c r="F39" s="36">
        <v>27</v>
      </c>
      <c r="G39" s="36">
        <v>9</v>
      </c>
      <c r="H39" s="36">
        <v>23</v>
      </c>
      <c r="I39" s="36">
        <v>11</v>
      </c>
      <c r="J39" s="36">
        <v>19</v>
      </c>
      <c r="K39" s="36">
        <v>473</v>
      </c>
      <c r="L39" s="36">
        <v>1427</v>
      </c>
      <c r="M39" s="36">
        <v>1841</v>
      </c>
      <c r="N39" s="36">
        <v>724</v>
      </c>
      <c r="O39" s="36">
        <v>1671</v>
      </c>
      <c r="P39" s="36">
        <v>555</v>
      </c>
      <c r="Q39" s="36">
        <v>1332</v>
      </c>
      <c r="R39" s="36">
        <v>785</v>
      </c>
      <c r="S39" s="36">
        <v>1750</v>
      </c>
      <c r="T39" s="38">
        <v>18.8</v>
      </c>
      <c r="U39" s="38">
        <v>20</v>
      </c>
      <c r="V39" s="38">
        <v>17.7</v>
      </c>
      <c r="W39" s="38">
        <v>15.8</v>
      </c>
      <c r="X39" s="38">
        <v>16.3</v>
      </c>
      <c r="Y39" s="38">
        <v>16.600000000000001</v>
      </c>
      <c r="Z39" s="38">
        <v>17.2</v>
      </c>
      <c r="AA39" s="38">
        <v>14.4</v>
      </c>
      <c r="AB39" s="38">
        <v>10.6</v>
      </c>
    </row>
    <row r="40" spans="1:28" ht="15" customHeight="1" x14ac:dyDescent="0.25">
      <c r="A40" s="35" t="s">
        <v>120</v>
      </c>
      <c r="B40" s="36">
        <v>6</v>
      </c>
      <c r="C40" s="36">
        <v>21</v>
      </c>
      <c r="D40" s="36">
        <v>26</v>
      </c>
      <c r="E40" s="36">
        <v>11</v>
      </c>
      <c r="F40" s="36">
        <v>60</v>
      </c>
      <c r="G40" s="36">
        <v>18</v>
      </c>
      <c r="H40" s="36">
        <v>45</v>
      </c>
      <c r="I40" s="36">
        <v>11</v>
      </c>
      <c r="J40" s="36">
        <v>35</v>
      </c>
      <c r="K40" s="36">
        <v>554</v>
      </c>
      <c r="L40" s="36">
        <v>1159</v>
      </c>
      <c r="M40" s="36">
        <v>1614</v>
      </c>
      <c r="N40" s="36">
        <v>947</v>
      </c>
      <c r="O40" s="36">
        <v>3535</v>
      </c>
      <c r="P40" s="36">
        <v>938</v>
      </c>
      <c r="Q40" s="36">
        <v>2247</v>
      </c>
      <c r="R40" s="36">
        <v>885</v>
      </c>
      <c r="S40" s="36">
        <v>2912</v>
      </c>
      <c r="T40" s="38">
        <v>10.7</v>
      </c>
      <c r="U40" s="38">
        <v>17.8</v>
      </c>
      <c r="V40" s="38">
        <v>16.100000000000001</v>
      </c>
      <c r="W40" s="38">
        <v>11.9</v>
      </c>
      <c r="X40" s="38">
        <v>17.100000000000001</v>
      </c>
      <c r="Y40" s="38">
        <v>19.100000000000001</v>
      </c>
      <c r="Z40" s="38">
        <v>20.2</v>
      </c>
      <c r="AA40" s="38">
        <v>12.8</v>
      </c>
      <c r="AB40" s="38">
        <v>12</v>
      </c>
    </row>
    <row r="41" spans="1:28" ht="15" customHeight="1" x14ac:dyDescent="0.25">
      <c r="A41" s="35" t="s">
        <v>121</v>
      </c>
      <c r="B41" s="36">
        <v>5</v>
      </c>
      <c r="C41" s="36">
        <v>34</v>
      </c>
      <c r="D41" s="36">
        <v>25</v>
      </c>
      <c r="E41" s="36">
        <v>11</v>
      </c>
      <c r="F41" s="36">
        <v>47</v>
      </c>
      <c r="G41" s="36">
        <v>16</v>
      </c>
      <c r="H41" s="36">
        <v>32</v>
      </c>
      <c r="I41" s="36">
        <v>11</v>
      </c>
      <c r="J41" s="36">
        <v>31</v>
      </c>
      <c r="K41" s="36">
        <v>476</v>
      </c>
      <c r="L41" s="36">
        <v>1539</v>
      </c>
      <c r="M41" s="36">
        <v>1904</v>
      </c>
      <c r="N41" s="36">
        <v>817</v>
      </c>
      <c r="O41" s="36">
        <v>2689</v>
      </c>
      <c r="P41" s="36">
        <v>1182</v>
      </c>
      <c r="Q41" s="36">
        <v>1807</v>
      </c>
      <c r="R41" s="36">
        <v>776</v>
      </c>
      <c r="S41" s="36">
        <v>1930</v>
      </c>
      <c r="T41" s="38">
        <v>11.3</v>
      </c>
      <c r="U41" s="38">
        <v>22.3</v>
      </c>
      <c r="V41" s="38">
        <v>13.3</v>
      </c>
      <c r="W41" s="38">
        <v>13.2</v>
      </c>
      <c r="X41" s="38">
        <v>17.399999999999999</v>
      </c>
      <c r="Y41" s="38">
        <v>13.9</v>
      </c>
      <c r="Z41" s="38">
        <v>17.5</v>
      </c>
      <c r="AA41" s="38">
        <v>14</v>
      </c>
      <c r="AB41" s="38">
        <v>16.3</v>
      </c>
    </row>
    <row r="42" spans="1:28" ht="15" customHeight="1" x14ac:dyDescent="0.25">
      <c r="A42" s="35" t="s">
        <v>122</v>
      </c>
      <c r="B42" s="36">
        <v>5</v>
      </c>
      <c r="C42" s="36">
        <v>11</v>
      </c>
      <c r="D42" s="36">
        <v>18</v>
      </c>
      <c r="E42" s="36">
        <v>6</v>
      </c>
      <c r="F42" s="36">
        <v>29</v>
      </c>
      <c r="G42" s="36">
        <v>3</v>
      </c>
      <c r="H42" s="36">
        <v>20</v>
      </c>
      <c r="I42" s="36">
        <v>6</v>
      </c>
      <c r="J42" s="36">
        <v>13</v>
      </c>
      <c r="K42" s="36">
        <v>337</v>
      </c>
      <c r="L42" s="36">
        <v>637</v>
      </c>
      <c r="M42" s="36">
        <v>1090</v>
      </c>
      <c r="N42" s="36">
        <v>405</v>
      </c>
      <c r="O42" s="36">
        <v>1919</v>
      </c>
      <c r="P42" s="36">
        <v>208</v>
      </c>
      <c r="Q42" s="36">
        <v>1170</v>
      </c>
      <c r="R42" s="36">
        <v>419</v>
      </c>
      <c r="S42" s="36">
        <v>1007</v>
      </c>
      <c r="T42" s="38">
        <v>16.2</v>
      </c>
      <c r="U42" s="38">
        <v>17.7</v>
      </c>
      <c r="V42" s="38">
        <v>16.7</v>
      </c>
      <c r="W42" s="38">
        <v>14.2</v>
      </c>
      <c r="X42" s="38">
        <v>15.3</v>
      </c>
      <c r="Y42" s="38">
        <v>13.2</v>
      </c>
      <c r="Z42" s="38">
        <v>16.899999999999999</v>
      </c>
      <c r="AA42" s="38">
        <v>14.8</v>
      </c>
      <c r="AB42" s="38">
        <v>12.5</v>
      </c>
    </row>
    <row r="43" spans="1:28" ht="15" customHeight="1" x14ac:dyDescent="0.25">
      <c r="A43" s="35" t="s">
        <v>123</v>
      </c>
      <c r="B43" s="36" t="s">
        <v>28</v>
      </c>
      <c r="C43" s="36">
        <v>4</v>
      </c>
      <c r="D43" s="36">
        <v>13</v>
      </c>
      <c r="E43" s="36">
        <v>5</v>
      </c>
      <c r="F43" s="36">
        <v>29</v>
      </c>
      <c r="G43" s="36">
        <v>4</v>
      </c>
      <c r="H43" s="36">
        <v>8</v>
      </c>
      <c r="I43" s="36">
        <v>14</v>
      </c>
      <c r="J43" s="36">
        <v>16</v>
      </c>
      <c r="K43" s="36" t="s">
        <v>28</v>
      </c>
      <c r="L43" s="36">
        <v>243</v>
      </c>
      <c r="M43" s="36">
        <v>860</v>
      </c>
      <c r="N43" s="36">
        <v>375</v>
      </c>
      <c r="O43" s="36">
        <v>1909</v>
      </c>
      <c r="P43" s="36">
        <v>312</v>
      </c>
      <c r="Q43" s="36">
        <v>605</v>
      </c>
      <c r="R43" s="36">
        <v>667</v>
      </c>
      <c r="S43" s="36" t="s">
        <v>28</v>
      </c>
      <c r="T43" s="38" t="s">
        <v>28</v>
      </c>
      <c r="U43" s="38">
        <v>14.5</v>
      </c>
      <c r="V43" s="38">
        <v>15</v>
      </c>
      <c r="W43" s="38">
        <v>12.9</v>
      </c>
      <c r="X43" s="38">
        <v>15.3</v>
      </c>
      <c r="Y43" s="38">
        <v>12.1</v>
      </c>
      <c r="Z43" s="38">
        <v>13.2</v>
      </c>
      <c r="AA43" s="38">
        <v>20.9</v>
      </c>
      <c r="AB43" s="38">
        <v>12.8</v>
      </c>
    </row>
    <row r="44" spans="1:28" ht="15" customHeight="1" x14ac:dyDescent="0.25">
      <c r="A44" s="35" t="s">
        <v>124</v>
      </c>
      <c r="B44" s="36">
        <v>3</v>
      </c>
      <c r="C44" s="36">
        <v>10</v>
      </c>
      <c r="D44" s="36">
        <v>11</v>
      </c>
      <c r="E44" s="36">
        <v>6</v>
      </c>
      <c r="F44" s="36" t="s">
        <v>28</v>
      </c>
      <c r="G44" s="36" t="s">
        <v>28</v>
      </c>
      <c r="H44" s="36">
        <v>10</v>
      </c>
      <c r="I44" s="36">
        <v>3</v>
      </c>
      <c r="J44" s="36" t="s">
        <v>28</v>
      </c>
      <c r="K44" s="36">
        <v>213</v>
      </c>
      <c r="L44" s="36">
        <v>685</v>
      </c>
      <c r="M44" s="36">
        <v>666</v>
      </c>
      <c r="N44" s="36">
        <v>310</v>
      </c>
      <c r="O44" s="36">
        <v>1711</v>
      </c>
      <c r="P44" s="36" t="s">
        <v>28</v>
      </c>
      <c r="Q44" s="36">
        <v>757</v>
      </c>
      <c r="R44" s="36">
        <v>327</v>
      </c>
      <c r="S44" s="36">
        <v>782</v>
      </c>
      <c r="T44" s="38" t="s">
        <v>28</v>
      </c>
      <c r="U44" s="38">
        <v>13.9</v>
      </c>
      <c r="V44" s="38">
        <v>16.7</v>
      </c>
      <c r="W44" s="38">
        <v>17.899999999999999</v>
      </c>
      <c r="X44" s="38">
        <v>17.2</v>
      </c>
      <c r="Y44" s="38" t="s">
        <v>28</v>
      </c>
      <c r="Z44" s="38">
        <v>13.7</v>
      </c>
      <c r="AA44" s="38">
        <v>10.6</v>
      </c>
      <c r="AB44" s="38">
        <v>18.100000000000001</v>
      </c>
    </row>
    <row r="45" spans="1:28" ht="24" customHeight="1" x14ac:dyDescent="0.25">
      <c r="A45" s="40" t="s">
        <v>125</v>
      </c>
      <c r="B45" s="32" t="s">
        <v>16</v>
      </c>
      <c r="C45" s="32" t="s">
        <v>16</v>
      </c>
      <c r="D45" s="32" t="s">
        <v>16</v>
      </c>
      <c r="E45" s="32" t="s">
        <v>16</v>
      </c>
      <c r="F45" s="32" t="s">
        <v>16</v>
      </c>
      <c r="G45" s="32" t="s">
        <v>16</v>
      </c>
      <c r="H45" s="32" t="s">
        <v>16</v>
      </c>
      <c r="I45" s="32" t="s">
        <v>16</v>
      </c>
      <c r="J45" s="32" t="s">
        <v>16</v>
      </c>
      <c r="K45" s="32" t="s">
        <v>16</v>
      </c>
      <c r="L45" s="32" t="s">
        <v>16</v>
      </c>
      <c r="M45" s="32" t="s">
        <v>16</v>
      </c>
      <c r="N45" s="32" t="s">
        <v>16</v>
      </c>
      <c r="O45" s="32" t="s">
        <v>16</v>
      </c>
      <c r="P45" s="32" t="s">
        <v>16</v>
      </c>
      <c r="Q45" s="32" t="s">
        <v>16</v>
      </c>
      <c r="R45" s="32" t="s">
        <v>16</v>
      </c>
      <c r="S45" s="32" t="s">
        <v>16</v>
      </c>
      <c r="T45" s="34" t="s">
        <v>16</v>
      </c>
      <c r="U45" s="34" t="s">
        <v>16</v>
      </c>
      <c r="V45" s="34" t="s">
        <v>16</v>
      </c>
      <c r="W45" s="34" t="s">
        <v>16</v>
      </c>
      <c r="X45" s="34" t="s">
        <v>16</v>
      </c>
      <c r="Y45" s="34" t="s">
        <v>16</v>
      </c>
      <c r="Z45" s="34" t="s">
        <v>16</v>
      </c>
      <c r="AA45" s="34" t="s">
        <v>16</v>
      </c>
      <c r="AB45" s="34" t="s">
        <v>16</v>
      </c>
    </row>
    <row r="46" spans="1:28" ht="15" customHeight="1" x14ac:dyDescent="0.25">
      <c r="A46" s="35" t="s">
        <v>126</v>
      </c>
      <c r="B46" s="36">
        <v>51</v>
      </c>
      <c r="C46" s="36">
        <v>91</v>
      </c>
      <c r="D46" s="36">
        <v>158</v>
      </c>
      <c r="E46" s="36">
        <v>53</v>
      </c>
      <c r="F46" s="36" t="s">
        <v>127</v>
      </c>
      <c r="G46" s="36" t="s">
        <v>127</v>
      </c>
      <c r="H46" s="36" t="s">
        <v>127</v>
      </c>
      <c r="I46" s="36">
        <v>41</v>
      </c>
      <c r="J46" s="36">
        <v>26</v>
      </c>
      <c r="K46" s="36">
        <v>4192</v>
      </c>
      <c r="L46" s="36">
        <v>6091</v>
      </c>
      <c r="M46" s="36">
        <v>11506</v>
      </c>
      <c r="N46" s="36">
        <v>4369</v>
      </c>
      <c r="O46" s="36" t="s">
        <v>127</v>
      </c>
      <c r="P46" s="36" t="s">
        <v>127</v>
      </c>
      <c r="Q46" s="36" t="s">
        <v>127</v>
      </c>
      <c r="R46" s="36">
        <v>3318</v>
      </c>
      <c r="S46" s="36">
        <v>1811</v>
      </c>
      <c r="T46" s="38">
        <v>12.1</v>
      </c>
      <c r="U46" s="38">
        <v>15</v>
      </c>
      <c r="V46" s="38">
        <v>13.7</v>
      </c>
      <c r="W46" s="38">
        <v>12.1</v>
      </c>
      <c r="X46" s="38" t="s">
        <v>127</v>
      </c>
      <c r="Y46" s="38" t="s">
        <v>127</v>
      </c>
      <c r="Z46" s="38" t="s">
        <v>127</v>
      </c>
      <c r="AA46" s="38">
        <v>12.2</v>
      </c>
      <c r="AB46" s="38">
        <v>14.6</v>
      </c>
    </row>
    <row r="47" spans="1:28" ht="15" customHeight="1" x14ac:dyDescent="0.25">
      <c r="A47" s="41" t="s">
        <v>128</v>
      </c>
      <c r="B47" s="36" t="s">
        <v>127</v>
      </c>
      <c r="C47" s="36">
        <v>79</v>
      </c>
      <c r="D47" s="36" t="s">
        <v>28</v>
      </c>
      <c r="E47" s="36">
        <v>22</v>
      </c>
      <c r="F47" s="36">
        <v>203</v>
      </c>
      <c r="G47" s="36">
        <v>51</v>
      </c>
      <c r="H47" s="36">
        <v>44</v>
      </c>
      <c r="I47" s="36" t="s">
        <v>127</v>
      </c>
      <c r="J47" s="36" t="s">
        <v>127</v>
      </c>
      <c r="K47" s="36" t="s">
        <v>127</v>
      </c>
      <c r="L47" s="36">
        <v>5008</v>
      </c>
      <c r="M47" s="36" t="s">
        <v>28</v>
      </c>
      <c r="N47" s="36">
        <v>1647</v>
      </c>
      <c r="O47" s="36">
        <v>13073</v>
      </c>
      <c r="P47" s="36">
        <v>3761</v>
      </c>
      <c r="Q47" s="36">
        <v>2895</v>
      </c>
      <c r="R47" s="36" t="s">
        <v>127</v>
      </c>
      <c r="S47" s="36" t="s">
        <v>127</v>
      </c>
      <c r="T47" s="38" t="s">
        <v>127</v>
      </c>
      <c r="U47" s="38">
        <v>15.7</v>
      </c>
      <c r="V47" s="38" t="s">
        <v>28</v>
      </c>
      <c r="W47" s="38">
        <v>13.5</v>
      </c>
      <c r="X47" s="38">
        <v>15.6</v>
      </c>
      <c r="Y47" s="38">
        <v>13.6</v>
      </c>
      <c r="Z47" s="38">
        <v>15</v>
      </c>
      <c r="AA47" s="38" t="s">
        <v>127</v>
      </c>
      <c r="AB47" s="38" t="s">
        <v>127</v>
      </c>
    </row>
    <row r="48" spans="1:28" ht="15" customHeight="1" x14ac:dyDescent="0.25">
      <c r="A48" s="41" t="s">
        <v>129</v>
      </c>
      <c r="B48" s="36" t="s">
        <v>127</v>
      </c>
      <c r="C48" s="36" t="s">
        <v>127</v>
      </c>
      <c r="D48" s="36" t="s">
        <v>127</v>
      </c>
      <c r="E48" s="36" t="s">
        <v>127</v>
      </c>
      <c r="F48" s="36" t="s">
        <v>127</v>
      </c>
      <c r="G48" s="36" t="s">
        <v>127</v>
      </c>
      <c r="H48" s="36" t="s">
        <v>28</v>
      </c>
      <c r="I48" s="36">
        <v>27</v>
      </c>
      <c r="J48" s="36">
        <v>113</v>
      </c>
      <c r="K48" s="36" t="s">
        <v>127</v>
      </c>
      <c r="L48" s="36" t="s">
        <v>127</v>
      </c>
      <c r="M48" s="36" t="s">
        <v>127</v>
      </c>
      <c r="N48" s="36" t="s">
        <v>127</v>
      </c>
      <c r="O48" s="36" t="s">
        <v>127</v>
      </c>
      <c r="P48" s="36" t="s">
        <v>127</v>
      </c>
      <c r="Q48" s="36" t="s">
        <v>28</v>
      </c>
      <c r="R48" s="36">
        <v>1494</v>
      </c>
      <c r="S48" s="36">
        <v>8753</v>
      </c>
      <c r="T48" s="38" t="s">
        <v>127</v>
      </c>
      <c r="U48" s="38" t="s">
        <v>127</v>
      </c>
      <c r="V48" s="38" t="s">
        <v>127</v>
      </c>
      <c r="W48" s="38" t="s">
        <v>127</v>
      </c>
      <c r="X48" s="38" t="s">
        <v>127</v>
      </c>
      <c r="Y48" s="38" t="s">
        <v>127</v>
      </c>
      <c r="Z48" s="38">
        <v>8.9</v>
      </c>
      <c r="AA48" s="38">
        <v>17.7</v>
      </c>
      <c r="AB48" s="38">
        <v>12.9</v>
      </c>
    </row>
    <row r="49" spans="1:28" ht="15" customHeight="1" x14ac:dyDescent="0.25">
      <c r="A49" s="35" t="s">
        <v>130</v>
      </c>
      <c r="B49" s="36" t="s">
        <v>127</v>
      </c>
      <c r="C49" s="36" t="s">
        <v>127</v>
      </c>
      <c r="D49" s="36" t="s">
        <v>127</v>
      </c>
      <c r="E49" s="36" t="s">
        <v>127</v>
      </c>
      <c r="F49" s="36">
        <v>83</v>
      </c>
      <c r="G49" s="36" t="s">
        <v>28</v>
      </c>
      <c r="H49" s="36">
        <v>116</v>
      </c>
      <c r="I49" s="36" t="s">
        <v>127</v>
      </c>
      <c r="J49" s="36" t="s">
        <v>28</v>
      </c>
      <c r="K49" s="36" t="s">
        <v>127</v>
      </c>
      <c r="L49" s="36" t="s">
        <v>127</v>
      </c>
      <c r="M49" s="36" t="s">
        <v>127</v>
      </c>
      <c r="N49" s="36" t="s">
        <v>127</v>
      </c>
      <c r="O49" s="36">
        <v>4534</v>
      </c>
      <c r="P49" s="36" t="s">
        <v>28</v>
      </c>
      <c r="Q49" s="36">
        <v>6204</v>
      </c>
      <c r="R49" s="36" t="s">
        <v>127</v>
      </c>
      <c r="S49" s="36" t="s">
        <v>28</v>
      </c>
      <c r="T49" s="38" t="s">
        <v>127</v>
      </c>
      <c r="U49" s="38" t="s">
        <v>127</v>
      </c>
      <c r="V49" s="38" t="s">
        <v>127</v>
      </c>
      <c r="W49" s="38" t="s">
        <v>127</v>
      </c>
      <c r="X49" s="38">
        <v>18.3</v>
      </c>
      <c r="Y49" s="38">
        <v>18.399999999999999</v>
      </c>
      <c r="Z49" s="38">
        <v>18.7</v>
      </c>
      <c r="AA49" s="38" t="s">
        <v>127</v>
      </c>
      <c r="AB49" s="38" t="s">
        <v>28</v>
      </c>
    </row>
    <row r="50" spans="1:28" ht="15" customHeight="1" x14ac:dyDescent="0.25">
      <c r="A50" s="41" t="s">
        <v>131</v>
      </c>
      <c r="B50" s="36" t="s">
        <v>127</v>
      </c>
      <c r="C50" s="36" t="s">
        <v>127</v>
      </c>
      <c r="D50" s="36" t="s">
        <v>127</v>
      </c>
      <c r="E50" s="36" t="s">
        <v>127</v>
      </c>
      <c r="F50" s="36" t="s">
        <v>127</v>
      </c>
      <c r="G50" s="36" t="s">
        <v>127</v>
      </c>
      <c r="H50" s="36" t="s">
        <v>127</v>
      </c>
      <c r="I50" s="36" t="s">
        <v>127</v>
      </c>
      <c r="J50" s="36">
        <v>35</v>
      </c>
      <c r="K50" s="36" t="s">
        <v>127</v>
      </c>
      <c r="L50" s="36" t="s">
        <v>127</v>
      </c>
      <c r="M50" s="36" t="s">
        <v>127</v>
      </c>
      <c r="N50" s="36" t="s">
        <v>127</v>
      </c>
      <c r="O50" s="36" t="s">
        <v>127</v>
      </c>
      <c r="P50" s="36" t="s">
        <v>127</v>
      </c>
      <c r="Q50" s="36" t="s">
        <v>127</v>
      </c>
      <c r="R50" s="36" t="s">
        <v>127</v>
      </c>
      <c r="S50" s="36">
        <v>2416</v>
      </c>
      <c r="T50" s="38" t="s">
        <v>127</v>
      </c>
      <c r="U50" s="38" t="s">
        <v>127</v>
      </c>
      <c r="V50" s="38" t="s">
        <v>127</v>
      </c>
      <c r="W50" s="38" t="s">
        <v>127</v>
      </c>
      <c r="X50" s="38" t="s">
        <v>127</v>
      </c>
      <c r="Y50" s="38" t="s">
        <v>127</v>
      </c>
      <c r="Z50" s="38" t="s">
        <v>127</v>
      </c>
      <c r="AA50" s="38" t="s">
        <v>127</v>
      </c>
      <c r="AB50" s="38">
        <v>14.6</v>
      </c>
    </row>
    <row r="51" spans="1:28" ht="24" customHeight="1" x14ac:dyDescent="0.25">
      <c r="A51" s="40" t="s">
        <v>132</v>
      </c>
      <c r="B51" s="32" t="s">
        <v>16</v>
      </c>
      <c r="C51" s="32" t="s">
        <v>16</v>
      </c>
      <c r="D51" s="32" t="s">
        <v>16</v>
      </c>
      <c r="E51" s="32" t="s">
        <v>16</v>
      </c>
      <c r="F51" s="32" t="s">
        <v>16</v>
      </c>
      <c r="G51" s="32" t="s">
        <v>16</v>
      </c>
      <c r="H51" s="32" t="s">
        <v>16</v>
      </c>
      <c r="I51" s="32" t="s">
        <v>16</v>
      </c>
      <c r="J51" s="32" t="s">
        <v>16</v>
      </c>
      <c r="K51" s="32" t="s">
        <v>16</v>
      </c>
      <c r="L51" s="32" t="s">
        <v>16</v>
      </c>
      <c r="M51" s="32" t="s">
        <v>16</v>
      </c>
      <c r="N51" s="32" t="s">
        <v>16</v>
      </c>
      <c r="O51" s="32" t="s">
        <v>16</v>
      </c>
      <c r="P51" s="32" t="s">
        <v>16</v>
      </c>
      <c r="Q51" s="32" t="s">
        <v>16</v>
      </c>
      <c r="R51" s="32" t="s">
        <v>16</v>
      </c>
      <c r="S51" s="32" t="s">
        <v>16</v>
      </c>
      <c r="T51" s="34" t="s">
        <v>16</v>
      </c>
      <c r="U51" s="34" t="s">
        <v>16</v>
      </c>
      <c r="V51" s="34" t="s">
        <v>16</v>
      </c>
      <c r="W51" s="34" t="s">
        <v>16</v>
      </c>
      <c r="X51" s="34" t="s">
        <v>16</v>
      </c>
      <c r="Y51" s="34" t="s">
        <v>16</v>
      </c>
      <c r="Z51" s="34" t="s">
        <v>16</v>
      </c>
      <c r="AA51" s="34" t="s">
        <v>16</v>
      </c>
      <c r="AB51" s="34" t="s">
        <v>16</v>
      </c>
    </row>
    <row r="52" spans="1:28" ht="15" customHeight="1" x14ac:dyDescent="0.25">
      <c r="A52" s="35" t="s">
        <v>133</v>
      </c>
      <c r="B52" s="36">
        <v>12</v>
      </c>
      <c r="C52" s="36">
        <v>45</v>
      </c>
      <c r="D52" s="36">
        <v>72</v>
      </c>
      <c r="E52" s="36">
        <v>27</v>
      </c>
      <c r="F52" s="36">
        <v>133</v>
      </c>
      <c r="G52" s="36">
        <v>40</v>
      </c>
      <c r="H52" s="36">
        <v>96</v>
      </c>
      <c r="I52" s="36">
        <v>30</v>
      </c>
      <c r="J52" s="36">
        <v>89</v>
      </c>
      <c r="K52" s="36">
        <v>1011</v>
      </c>
      <c r="L52" s="36">
        <v>2682</v>
      </c>
      <c r="M52" s="36">
        <v>4898</v>
      </c>
      <c r="N52" s="36">
        <v>2555</v>
      </c>
      <c r="O52" s="36">
        <v>8880</v>
      </c>
      <c r="P52" s="36">
        <v>2588</v>
      </c>
      <c r="Q52" s="36">
        <v>6025</v>
      </c>
      <c r="R52" s="36">
        <v>2415</v>
      </c>
      <c r="S52" s="36">
        <v>6999</v>
      </c>
      <c r="T52" s="38">
        <v>12.1</v>
      </c>
      <c r="U52" s="38">
        <v>16.899999999999999</v>
      </c>
      <c r="V52" s="38">
        <v>14.7</v>
      </c>
      <c r="W52" s="38">
        <v>10.6</v>
      </c>
      <c r="X52" s="38">
        <v>15</v>
      </c>
      <c r="Y52" s="38">
        <v>15.5</v>
      </c>
      <c r="Z52" s="38">
        <v>15.9</v>
      </c>
      <c r="AA52" s="38">
        <v>12.5</v>
      </c>
      <c r="AB52" s="38">
        <v>12.7</v>
      </c>
    </row>
    <row r="53" spans="1:28" ht="15" customHeight="1" x14ac:dyDescent="0.25">
      <c r="A53" s="41" t="s">
        <v>134</v>
      </c>
      <c r="B53" s="36">
        <v>13</v>
      </c>
      <c r="C53" s="36">
        <v>39</v>
      </c>
      <c r="D53" s="36">
        <v>38</v>
      </c>
      <c r="E53" s="36">
        <v>19</v>
      </c>
      <c r="F53" s="36">
        <v>59</v>
      </c>
      <c r="G53" s="36">
        <v>12</v>
      </c>
      <c r="H53" s="36">
        <v>28</v>
      </c>
      <c r="I53" s="36">
        <v>16</v>
      </c>
      <c r="J53" s="36">
        <v>35</v>
      </c>
      <c r="K53" s="36">
        <v>1270</v>
      </c>
      <c r="L53" s="36">
        <v>2797</v>
      </c>
      <c r="M53" s="36">
        <v>3135</v>
      </c>
      <c r="N53" s="36">
        <v>1654</v>
      </c>
      <c r="O53" s="36">
        <v>3762</v>
      </c>
      <c r="P53" s="36">
        <v>1066</v>
      </c>
      <c r="Q53" s="36">
        <v>1975</v>
      </c>
      <c r="R53" s="36">
        <v>1153</v>
      </c>
      <c r="S53" s="36">
        <v>3116</v>
      </c>
      <c r="T53" s="38">
        <v>9.9</v>
      </c>
      <c r="U53" s="38">
        <v>14.1</v>
      </c>
      <c r="V53" s="38">
        <v>12</v>
      </c>
      <c r="W53" s="38">
        <v>11.3</v>
      </c>
      <c r="X53" s="38">
        <v>15.7</v>
      </c>
      <c r="Y53" s="38">
        <v>11.6</v>
      </c>
      <c r="Z53" s="38">
        <v>14.3</v>
      </c>
      <c r="AA53" s="38">
        <v>13.6</v>
      </c>
      <c r="AB53" s="38">
        <v>11.3</v>
      </c>
    </row>
    <row r="54" spans="1:28" ht="15" customHeight="1" x14ac:dyDescent="0.25">
      <c r="A54" s="41" t="s">
        <v>135</v>
      </c>
      <c r="B54" s="36">
        <v>10</v>
      </c>
      <c r="C54" s="36">
        <v>20</v>
      </c>
      <c r="D54" s="36">
        <v>19</v>
      </c>
      <c r="E54" s="36">
        <v>12</v>
      </c>
      <c r="F54" s="36">
        <v>19</v>
      </c>
      <c r="G54" s="36">
        <v>5</v>
      </c>
      <c r="H54" s="36">
        <v>10</v>
      </c>
      <c r="I54" s="36">
        <v>3</v>
      </c>
      <c r="J54" s="36">
        <v>10</v>
      </c>
      <c r="K54" s="36">
        <v>953</v>
      </c>
      <c r="L54" s="36">
        <v>1456</v>
      </c>
      <c r="M54" s="36">
        <v>1708</v>
      </c>
      <c r="N54" s="36">
        <v>881</v>
      </c>
      <c r="O54" s="36">
        <v>992</v>
      </c>
      <c r="P54" s="36">
        <v>344</v>
      </c>
      <c r="Q54" s="36">
        <v>692</v>
      </c>
      <c r="R54" s="36">
        <v>265</v>
      </c>
      <c r="S54" s="36">
        <v>809</v>
      </c>
      <c r="T54" s="38">
        <v>10.8</v>
      </c>
      <c r="U54" s="38">
        <v>13.8</v>
      </c>
      <c r="V54" s="38">
        <v>11.1</v>
      </c>
      <c r="W54" s="38">
        <v>13.8</v>
      </c>
      <c r="X54" s="38">
        <v>19.5</v>
      </c>
      <c r="Y54" s="38">
        <v>14.9</v>
      </c>
      <c r="Z54" s="38">
        <v>15</v>
      </c>
      <c r="AA54" s="38">
        <v>11.4</v>
      </c>
      <c r="AB54" s="38">
        <v>12.6</v>
      </c>
    </row>
    <row r="55" spans="1:28" ht="15" customHeight="1" x14ac:dyDescent="0.25">
      <c r="A55" s="35" t="s">
        <v>136</v>
      </c>
      <c r="B55" s="36">
        <v>11</v>
      </c>
      <c r="C55" s="36">
        <v>38</v>
      </c>
      <c r="D55" s="36">
        <v>31</v>
      </c>
      <c r="E55" s="36">
        <v>15</v>
      </c>
      <c r="F55" s="36">
        <v>56</v>
      </c>
      <c r="G55" s="36">
        <v>10</v>
      </c>
      <c r="H55" s="36">
        <v>28</v>
      </c>
      <c r="I55" s="36">
        <v>8</v>
      </c>
      <c r="J55" s="36">
        <v>32</v>
      </c>
      <c r="K55" s="36">
        <v>767</v>
      </c>
      <c r="L55" s="36">
        <v>2613</v>
      </c>
      <c r="M55" s="36">
        <v>2036</v>
      </c>
      <c r="N55" s="36">
        <v>814</v>
      </c>
      <c r="O55" s="36">
        <v>2913</v>
      </c>
      <c r="P55" s="36">
        <v>694</v>
      </c>
      <c r="Q55" s="36">
        <v>1396</v>
      </c>
      <c r="R55" s="36">
        <v>498</v>
      </c>
      <c r="S55" s="36">
        <v>1687</v>
      </c>
      <c r="T55" s="38">
        <v>14.6</v>
      </c>
      <c r="U55" s="38">
        <v>14.7</v>
      </c>
      <c r="V55" s="38">
        <v>15.3</v>
      </c>
      <c r="W55" s="38">
        <v>18.399999999999999</v>
      </c>
      <c r="X55" s="38">
        <v>19.399999999999999</v>
      </c>
      <c r="Y55" s="38">
        <v>14.6</v>
      </c>
      <c r="Z55" s="38">
        <v>20.3</v>
      </c>
      <c r="AA55" s="38">
        <v>16.8</v>
      </c>
      <c r="AB55" s="38">
        <v>19</v>
      </c>
    </row>
    <row r="56" spans="1:28" ht="15" customHeight="1" x14ac:dyDescent="0.25">
      <c r="A56" s="41" t="s">
        <v>137</v>
      </c>
      <c r="B56" s="36" t="s">
        <v>28</v>
      </c>
      <c r="C56" s="36">
        <v>27</v>
      </c>
      <c r="D56" s="36">
        <v>15</v>
      </c>
      <c r="E56" s="36" t="s">
        <v>28</v>
      </c>
      <c r="F56" s="36">
        <v>18</v>
      </c>
      <c r="G56" s="36" t="s">
        <v>28</v>
      </c>
      <c r="H56" s="36">
        <v>10</v>
      </c>
      <c r="I56" s="36" t="s">
        <v>28</v>
      </c>
      <c r="J56" s="36">
        <v>10</v>
      </c>
      <c r="K56" s="36" t="s">
        <v>28</v>
      </c>
      <c r="L56" s="36">
        <v>1552</v>
      </c>
      <c r="M56" s="36">
        <v>767</v>
      </c>
      <c r="N56" s="36" t="s">
        <v>28</v>
      </c>
      <c r="O56" s="36">
        <v>1061</v>
      </c>
      <c r="P56" s="36" t="s">
        <v>28</v>
      </c>
      <c r="Q56" s="36">
        <v>506</v>
      </c>
      <c r="R56" s="36" t="s">
        <v>28</v>
      </c>
      <c r="S56" s="36">
        <v>568</v>
      </c>
      <c r="T56" s="38" t="s">
        <v>28</v>
      </c>
      <c r="U56" s="38">
        <v>17.100000000000001</v>
      </c>
      <c r="V56" s="38">
        <v>19.2</v>
      </c>
      <c r="W56" s="38" t="s">
        <v>28</v>
      </c>
      <c r="X56" s="38">
        <v>17.3</v>
      </c>
      <c r="Y56" s="38" t="s">
        <v>28</v>
      </c>
      <c r="Z56" s="38">
        <v>19.8</v>
      </c>
      <c r="AA56" s="38">
        <v>20.399999999999999</v>
      </c>
      <c r="AB56" s="38">
        <v>16.7</v>
      </c>
    </row>
    <row r="57" spans="1:28" ht="33.950000000000003" customHeight="1" x14ac:dyDescent="0.25">
      <c r="A57" s="40" t="s">
        <v>138</v>
      </c>
      <c r="B57" s="32" t="s">
        <v>16</v>
      </c>
      <c r="C57" s="32" t="s">
        <v>16</v>
      </c>
      <c r="D57" s="32" t="s">
        <v>16</v>
      </c>
      <c r="E57" s="32" t="s">
        <v>16</v>
      </c>
      <c r="F57" s="32" t="s">
        <v>16</v>
      </c>
      <c r="G57" s="32" t="s">
        <v>16</v>
      </c>
      <c r="H57" s="32" t="s">
        <v>16</v>
      </c>
      <c r="I57" s="32" t="s">
        <v>16</v>
      </c>
      <c r="J57" s="32" t="s">
        <v>16</v>
      </c>
      <c r="K57" s="32" t="s">
        <v>16</v>
      </c>
      <c r="L57" s="32" t="s">
        <v>16</v>
      </c>
      <c r="M57" s="32" t="s">
        <v>16</v>
      </c>
      <c r="N57" s="32" t="s">
        <v>16</v>
      </c>
      <c r="O57" s="32" t="s">
        <v>16</v>
      </c>
      <c r="P57" s="32" t="s">
        <v>16</v>
      </c>
      <c r="Q57" s="32" t="s">
        <v>16</v>
      </c>
      <c r="R57" s="32" t="s">
        <v>16</v>
      </c>
      <c r="S57" s="32" t="s">
        <v>16</v>
      </c>
      <c r="T57" s="34" t="s">
        <v>16</v>
      </c>
      <c r="U57" s="34" t="s">
        <v>16</v>
      </c>
      <c r="V57" s="34" t="s">
        <v>16</v>
      </c>
      <c r="W57" s="34" t="s">
        <v>16</v>
      </c>
      <c r="X57" s="34" t="s">
        <v>16</v>
      </c>
      <c r="Y57" s="34" t="s">
        <v>16</v>
      </c>
      <c r="Z57" s="34" t="s">
        <v>16</v>
      </c>
      <c r="AA57" s="34" t="s">
        <v>16</v>
      </c>
      <c r="AB57" s="34" t="s">
        <v>16</v>
      </c>
    </row>
    <row r="58" spans="1:28" ht="15" customHeight="1" x14ac:dyDescent="0.25">
      <c r="A58" s="35" t="s">
        <v>139</v>
      </c>
      <c r="B58" s="36">
        <v>26</v>
      </c>
      <c r="C58" s="36">
        <v>103</v>
      </c>
      <c r="D58" s="36">
        <v>80</v>
      </c>
      <c r="E58" s="36">
        <v>34</v>
      </c>
      <c r="F58" s="36">
        <v>119</v>
      </c>
      <c r="G58" s="36">
        <v>21</v>
      </c>
      <c r="H58" s="36">
        <v>62</v>
      </c>
      <c r="I58" s="36">
        <v>29</v>
      </c>
      <c r="J58" s="36">
        <v>66</v>
      </c>
      <c r="K58" s="36">
        <v>1857</v>
      </c>
      <c r="L58" s="36">
        <v>6034</v>
      </c>
      <c r="M58" s="36">
        <v>5390</v>
      </c>
      <c r="N58" s="36">
        <v>2097</v>
      </c>
      <c r="O58" s="36">
        <v>6471</v>
      </c>
      <c r="P58" s="36">
        <v>1206</v>
      </c>
      <c r="Q58" s="36">
        <v>3266</v>
      </c>
      <c r="R58" s="36">
        <v>1700</v>
      </c>
      <c r="S58" s="36">
        <v>3920</v>
      </c>
      <c r="T58" s="38">
        <v>13.8</v>
      </c>
      <c r="U58" s="38">
        <v>17.100000000000001</v>
      </c>
      <c r="V58" s="38">
        <v>14.9</v>
      </c>
      <c r="W58" s="38">
        <v>16.399999999999999</v>
      </c>
      <c r="X58" s="38">
        <v>18.399999999999999</v>
      </c>
      <c r="Y58" s="38">
        <v>17.100000000000001</v>
      </c>
      <c r="Z58" s="38">
        <v>18.899999999999999</v>
      </c>
      <c r="AA58" s="38">
        <v>17</v>
      </c>
      <c r="AB58" s="38">
        <v>16.7</v>
      </c>
    </row>
    <row r="59" spans="1:28" ht="15" customHeight="1" x14ac:dyDescent="0.25">
      <c r="A59" s="41" t="s">
        <v>140</v>
      </c>
      <c r="B59" s="36" t="s">
        <v>16</v>
      </c>
      <c r="C59" s="36" t="s">
        <v>16</v>
      </c>
      <c r="D59" s="36" t="s">
        <v>16</v>
      </c>
      <c r="E59" s="36" t="s">
        <v>16</v>
      </c>
      <c r="F59" s="36" t="s">
        <v>16</v>
      </c>
      <c r="G59" s="36" t="s">
        <v>16</v>
      </c>
      <c r="H59" s="36" t="s">
        <v>16</v>
      </c>
      <c r="I59" s="36" t="s">
        <v>16</v>
      </c>
      <c r="J59" s="36" t="s">
        <v>16</v>
      </c>
      <c r="K59" s="36" t="s">
        <v>16</v>
      </c>
      <c r="L59" s="36" t="s">
        <v>16</v>
      </c>
      <c r="M59" s="36" t="s">
        <v>16</v>
      </c>
      <c r="N59" s="36" t="s">
        <v>16</v>
      </c>
      <c r="O59" s="36" t="s">
        <v>16</v>
      </c>
      <c r="P59" s="36" t="s">
        <v>16</v>
      </c>
      <c r="Q59" s="36" t="s">
        <v>16</v>
      </c>
      <c r="R59" s="36" t="s">
        <v>16</v>
      </c>
      <c r="S59" s="36" t="s">
        <v>16</v>
      </c>
      <c r="T59" s="38" t="s">
        <v>16</v>
      </c>
      <c r="U59" s="38" t="s">
        <v>16</v>
      </c>
      <c r="V59" s="38" t="s">
        <v>16</v>
      </c>
      <c r="W59" s="38" t="s">
        <v>16</v>
      </c>
      <c r="X59" s="38" t="s">
        <v>16</v>
      </c>
      <c r="Y59" s="38" t="s">
        <v>16</v>
      </c>
      <c r="Z59" s="38" t="s">
        <v>16</v>
      </c>
      <c r="AA59" s="38" t="s">
        <v>16</v>
      </c>
      <c r="AB59" s="38" t="s">
        <v>16</v>
      </c>
    </row>
    <row r="60" spans="1:28" ht="15" customHeight="1" x14ac:dyDescent="0.25">
      <c r="A60" s="39" t="s">
        <v>133</v>
      </c>
      <c r="B60" s="36">
        <v>9</v>
      </c>
      <c r="C60" s="36">
        <v>25</v>
      </c>
      <c r="D60" s="36">
        <v>26</v>
      </c>
      <c r="E60" s="36">
        <v>13</v>
      </c>
      <c r="F60" s="36">
        <v>28</v>
      </c>
      <c r="G60" s="36">
        <v>7</v>
      </c>
      <c r="H60" s="36">
        <v>20</v>
      </c>
      <c r="I60" s="36">
        <v>6</v>
      </c>
      <c r="J60" s="36">
        <v>13</v>
      </c>
      <c r="K60" s="36">
        <v>944</v>
      </c>
      <c r="L60" s="36">
        <v>1616</v>
      </c>
      <c r="M60" s="36">
        <v>2252</v>
      </c>
      <c r="N60" s="36">
        <v>949</v>
      </c>
      <c r="O60" s="36">
        <v>1948</v>
      </c>
      <c r="P60" s="36">
        <v>440</v>
      </c>
      <c r="Q60" s="36">
        <v>1277</v>
      </c>
      <c r="R60" s="36">
        <v>486</v>
      </c>
      <c r="S60" s="36">
        <v>1207</v>
      </c>
      <c r="T60" s="38">
        <v>9.5</v>
      </c>
      <c r="U60" s="38">
        <v>15.2</v>
      </c>
      <c r="V60" s="38">
        <v>11.6</v>
      </c>
      <c r="W60" s="38">
        <v>13.8</v>
      </c>
      <c r="X60" s="38">
        <v>14.6</v>
      </c>
      <c r="Y60" s="38">
        <v>15.7</v>
      </c>
      <c r="Z60" s="38">
        <v>15.4</v>
      </c>
      <c r="AA60" s="38">
        <v>11.8</v>
      </c>
      <c r="AB60" s="38">
        <v>11</v>
      </c>
    </row>
    <row r="61" spans="1:28" ht="15" customHeight="1" x14ac:dyDescent="0.25">
      <c r="A61" s="39" t="s">
        <v>141</v>
      </c>
      <c r="B61" s="36">
        <v>11</v>
      </c>
      <c r="C61" s="36">
        <v>41</v>
      </c>
      <c r="D61" s="36">
        <v>29</v>
      </c>
      <c r="E61" s="36">
        <v>14</v>
      </c>
      <c r="F61" s="36">
        <v>57</v>
      </c>
      <c r="G61" s="36">
        <v>6</v>
      </c>
      <c r="H61" s="36">
        <v>25</v>
      </c>
      <c r="I61" s="36">
        <v>10</v>
      </c>
      <c r="J61" s="36">
        <v>29</v>
      </c>
      <c r="K61" s="36">
        <v>713</v>
      </c>
      <c r="L61" s="36">
        <v>2432</v>
      </c>
      <c r="M61" s="36">
        <v>1943</v>
      </c>
      <c r="N61" s="36">
        <v>788</v>
      </c>
      <c r="O61" s="36">
        <v>2825</v>
      </c>
      <c r="P61" s="36">
        <v>447</v>
      </c>
      <c r="Q61" s="36">
        <v>1295</v>
      </c>
      <c r="R61" s="36">
        <v>563</v>
      </c>
      <c r="S61" s="36">
        <v>1705</v>
      </c>
      <c r="T61" s="38">
        <v>15.3</v>
      </c>
      <c r="U61" s="38">
        <v>16.7</v>
      </c>
      <c r="V61" s="38">
        <v>15</v>
      </c>
      <c r="W61" s="38">
        <v>17.2</v>
      </c>
      <c r="X61" s="38">
        <v>20.2</v>
      </c>
      <c r="Y61" s="38">
        <v>14.3</v>
      </c>
      <c r="Z61" s="38">
        <v>19.5</v>
      </c>
      <c r="AA61" s="38">
        <v>17.600000000000001</v>
      </c>
      <c r="AB61" s="38">
        <v>17.3</v>
      </c>
    </row>
    <row r="62" spans="1:28" ht="15" customHeight="1" x14ac:dyDescent="0.25">
      <c r="A62" s="39" t="s">
        <v>142</v>
      </c>
      <c r="B62" s="36">
        <v>6</v>
      </c>
      <c r="C62" s="36">
        <v>38</v>
      </c>
      <c r="D62" s="36">
        <v>25</v>
      </c>
      <c r="E62" s="36">
        <v>8</v>
      </c>
      <c r="F62" s="36">
        <v>34</v>
      </c>
      <c r="G62" s="36">
        <v>7</v>
      </c>
      <c r="H62" s="36">
        <v>17</v>
      </c>
      <c r="I62" s="36" t="s">
        <v>28</v>
      </c>
      <c r="J62" s="36">
        <v>23</v>
      </c>
      <c r="K62" s="36">
        <v>200</v>
      </c>
      <c r="L62" s="36">
        <v>1986</v>
      </c>
      <c r="M62" s="36">
        <v>1195</v>
      </c>
      <c r="N62" s="36">
        <v>359</v>
      </c>
      <c r="O62" s="36">
        <v>1697</v>
      </c>
      <c r="P62" s="36">
        <v>320</v>
      </c>
      <c r="Q62" s="36">
        <v>694</v>
      </c>
      <c r="R62" s="36">
        <v>651</v>
      </c>
      <c r="S62" s="36">
        <v>1007</v>
      </c>
      <c r="T62" s="38">
        <v>28.7</v>
      </c>
      <c r="U62" s="38">
        <v>18.899999999999999</v>
      </c>
      <c r="V62" s="38">
        <v>20.9</v>
      </c>
      <c r="W62" s="38">
        <v>21.7</v>
      </c>
      <c r="X62" s="38">
        <v>19.8</v>
      </c>
      <c r="Y62" s="38">
        <v>22.8</v>
      </c>
      <c r="Z62" s="38">
        <v>24.4</v>
      </c>
      <c r="AA62" s="38">
        <v>20.3</v>
      </c>
      <c r="AB62" s="38">
        <v>22.6</v>
      </c>
    </row>
    <row r="63" spans="1:28" ht="15" customHeight="1" x14ac:dyDescent="0.25">
      <c r="A63" s="41" t="s">
        <v>143</v>
      </c>
      <c r="B63" s="36" t="s">
        <v>28</v>
      </c>
      <c r="C63" s="36">
        <v>14</v>
      </c>
      <c r="D63" s="36">
        <v>13</v>
      </c>
      <c r="E63" s="36" t="s">
        <v>28</v>
      </c>
      <c r="F63" s="36">
        <v>14</v>
      </c>
      <c r="G63" s="36" t="s">
        <v>28</v>
      </c>
      <c r="H63" s="36" t="s">
        <v>28</v>
      </c>
      <c r="I63" s="36" t="s">
        <v>28</v>
      </c>
      <c r="J63" s="36">
        <v>7</v>
      </c>
      <c r="K63" s="36" t="s">
        <v>28</v>
      </c>
      <c r="L63" s="36">
        <v>785</v>
      </c>
      <c r="M63" s="36">
        <v>731</v>
      </c>
      <c r="N63" s="36" t="s">
        <v>28</v>
      </c>
      <c r="O63" s="36">
        <v>646</v>
      </c>
      <c r="P63" s="36" t="s">
        <v>28</v>
      </c>
      <c r="Q63" s="36" t="s">
        <v>28</v>
      </c>
      <c r="R63" s="36" t="s">
        <v>28</v>
      </c>
      <c r="S63" s="36">
        <v>461</v>
      </c>
      <c r="T63" s="38" t="s">
        <v>28</v>
      </c>
      <c r="U63" s="38">
        <v>18.100000000000001</v>
      </c>
      <c r="V63" s="38">
        <v>17.2</v>
      </c>
      <c r="W63" s="38" t="s">
        <v>28</v>
      </c>
      <c r="X63" s="38">
        <v>20.9</v>
      </c>
      <c r="Y63" s="38" t="s">
        <v>28</v>
      </c>
      <c r="Z63" s="38" t="s">
        <v>28</v>
      </c>
      <c r="AA63" s="38" t="s">
        <v>28</v>
      </c>
      <c r="AB63" s="38">
        <v>14.6</v>
      </c>
    </row>
    <row r="64" spans="1:28" ht="24" customHeight="1" x14ac:dyDescent="0.25">
      <c r="A64" s="40" t="s">
        <v>144</v>
      </c>
      <c r="B64" s="32" t="s">
        <v>16</v>
      </c>
      <c r="C64" s="32" t="s">
        <v>16</v>
      </c>
      <c r="D64" s="32" t="s">
        <v>16</v>
      </c>
      <c r="E64" s="32" t="s">
        <v>16</v>
      </c>
      <c r="F64" s="32" t="s">
        <v>16</v>
      </c>
      <c r="G64" s="32" t="s">
        <v>16</v>
      </c>
      <c r="H64" s="32" t="s">
        <v>16</v>
      </c>
      <c r="I64" s="32" t="s">
        <v>16</v>
      </c>
      <c r="J64" s="32" t="s">
        <v>16</v>
      </c>
      <c r="K64" s="32" t="s">
        <v>16</v>
      </c>
      <c r="L64" s="32" t="s">
        <v>16</v>
      </c>
      <c r="M64" s="32" t="s">
        <v>16</v>
      </c>
      <c r="N64" s="32" t="s">
        <v>16</v>
      </c>
      <c r="O64" s="32" t="s">
        <v>16</v>
      </c>
      <c r="P64" s="32" t="s">
        <v>16</v>
      </c>
      <c r="Q64" s="32" t="s">
        <v>16</v>
      </c>
      <c r="R64" s="32" t="s">
        <v>16</v>
      </c>
      <c r="S64" s="32" t="s">
        <v>16</v>
      </c>
      <c r="T64" s="34" t="s">
        <v>16</v>
      </c>
      <c r="U64" s="34" t="s">
        <v>16</v>
      </c>
      <c r="V64" s="34" t="s">
        <v>16</v>
      </c>
      <c r="W64" s="34" t="s">
        <v>16</v>
      </c>
      <c r="X64" s="34" t="s">
        <v>16</v>
      </c>
      <c r="Y64" s="34" t="s">
        <v>16</v>
      </c>
      <c r="Z64" s="34" t="s">
        <v>16</v>
      </c>
      <c r="AA64" s="34" t="s">
        <v>16</v>
      </c>
      <c r="AB64" s="34" t="s">
        <v>16</v>
      </c>
    </row>
    <row r="65" spans="1:28" ht="15" customHeight="1" x14ac:dyDescent="0.25">
      <c r="A65" s="35" t="s">
        <v>145</v>
      </c>
      <c r="B65" s="42">
        <v>6</v>
      </c>
      <c r="C65" s="42">
        <v>11</v>
      </c>
      <c r="D65" s="42">
        <v>20</v>
      </c>
      <c r="E65" s="42">
        <v>10</v>
      </c>
      <c r="F65" s="42">
        <v>32</v>
      </c>
      <c r="G65" s="42">
        <v>11</v>
      </c>
      <c r="H65" s="42">
        <v>19</v>
      </c>
      <c r="I65" s="42">
        <v>9</v>
      </c>
      <c r="J65" s="42">
        <v>17</v>
      </c>
      <c r="K65" s="42">
        <v>907</v>
      </c>
      <c r="L65" s="42">
        <v>1542</v>
      </c>
      <c r="M65" s="42">
        <v>2465</v>
      </c>
      <c r="N65" s="42">
        <v>1461</v>
      </c>
      <c r="O65" s="42">
        <v>2660</v>
      </c>
      <c r="P65" s="42">
        <v>1186</v>
      </c>
      <c r="Q65" s="42">
        <v>2240</v>
      </c>
      <c r="R65" s="42">
        <v>799</v>
      </c>
      <c r="S65" s="42">
        <v>2271</v>
      </c>
      <c r="T65" s="44">
        <v>6.3</v>
      </c>
      <c r="U65" s="44">
        <v>6.9</v>
      </c>
      <c r="V65" s="44">
        <v>8.1999999999999993</v>
      </c>
      <c r="W65" s="44">
        <v>7.1</v>
      </c>
      <c r="X65" s="44">
        <v>12</v>
      </c>
      <c r="Y65" s="44">
        <v>9.4</v>
      </c>
      <c r="Z65" s="44">
        <v>8.3000000000000007</v>
      </c>
      <c r="AA65" s="44">
        <v>10.8</v>
      </c>
      <c r="AB65" s="44">
        <v>7.3</v>
      </c>
    </row>
    <row r="66" spans="1:28" ht="15" customHeight="1" x14ac:dyDescent="0.25">
      <c r="A66" s="41" t="s">
        <v>146</v>
      </c>
      <c r="B66" s="42">
        <v>7</v>
      </c>
      <c r="C66" s="42">
        <v>7</v>
      </c>
      <c r="D66" s="42">
        <v>14</v>
      </c>
      <c r="E66" s="42">
        <v>9</v>
      </c>
      <c r="F66" s="42">
        <v>24</v>
      </c>
      <c r="G66" s="42">
        <v>6</v>
      </c>
      <c r="H66" s="42">
        <v>21</v>
      </c>
      <c r="I66" s="42">
        <v>7</v>
      </c>
      <c r="J66" s="42">
        <v>17</v>
      </c>
      <c r="K66" s="42">
        <v>496</v>
      </c>
      <c r="L66" s="42">
        <v>786</v>
      </c>
      <c r="M66" s="42">
        <v>1110</v>
      </c>
      <c r="N66" s="42">
        <v>800</v>
      </c>
      <c r="O66" s="42">
        <v>1751</v>
      </c>
      <c r="P66" s="42">
        <v>491</v>
      </c>
      <c r="Q66" s="42">
        <v>1308</v>
      </c>
      <c r="R66" s="42">
        <v>565</v>
      </c>
      <c r="S66" s="42">
        <v>1662</v>
      </c>
      <c r="T66" s="44">
        <v>13.7</v>
      </c>
      <c r="U66" s="44">
        <v>8.6</v>
      </c>
      <c r="V66" s="44">
        <v>12.7</v>
      </c>
      <c r="W66" s="44">
        <v>10.8</v>
      </c>
      <c r="X66" s="44">
        <v>13.7</v>
      </c>
      <c r="Y66" s="44">
        <v>11.9</v>
      </c>
      <c r="Z66" s="44">
        <v>16.100000000000001</v>
      </c>
      <c r="AA66" s="44">
        <v>12.9</v>
      </c>
      <c r="AB66" s="44">
        <v>10.4</v>
      </c>
    </row>
    <row r="67" spans="1:28" ht="15" customHeight="1" x14ac:dyDescent="0.25">
      <c r="A67" s="41" t="s">
        <v>147</v>
      </c>
      <c r="B67" s="42">
        <v>5</v>
      </c>
      <c r="C67" s="42">
        <v>9</v>
      </c>
      <c r="D67" s="42">
        <v>17</v>
      </c>
      <c r="E67" s="42">
        <v>8</v>
      </c>
      <c r="F67" s="42">
        <v>32</v>
      </c>
      <c r="G67" s="42">
        <v>11</v>
      </c>
      <c r="H67" s="42">
        <v>19</v>
      </c>
      <c r="I67" s="42">
        <v>7</v>
      </c>
      <c r="J67" s="42">
        <v>23</v>
      </c>
      <c r="K67" s="42">
        <v>439</v>
      </c>
      <c r="L67" s="42">
        <v>951</v>
      </c>
      <c r="M67" s="42">
        <v>1232</v>
      </c>
      <c r="N67" s="42">
        <v>648</v>
      </c>
      <c r="O67" s="42">
        <v>1935</v>
      </c>
      <c r="P67" s="42">
        <v>573</v>
      </c>
      <c r="Q67" s="42">
        <v>1307</v>
      </c>
      <c r="R67" s="42">
        <v>560</v>
      </c>
      <c r="S67" s="42">
        <v>1978</v>
      </c>
      <c r="T67" s="44">
        <v>11</v>
      </c>
      <c r="U67" s="44">
        <v>9.3000000000000007</v>
      </c>
      <c r="V67" s="44">
        <v>13.9</v>
      </c>
      <c r="W67" s="44">
        <v>13</v>
      </c>
      <c r="X67" s="44">
        <v>16.8</v>
      </c>
      <c r="Y67" s="44">
        <v>19.5</v>
      </c>
      <c r="Z67" s="44">
        <v>14.8</v>
      </c>
      <c r="AA67" s="44">
        <v>13</v>
      </c>
      <c r="AB67" s="44">
        <v>11.4</v>
      </c>
    </row>
    <row r="68" spans="1:28" ht="15" customHeight="1" x14ac:dyDescent="0.25">
      <c r="A68" s="35" t="s">
        <v>148</v>
      </c>
      <c r="B68" s="42">
        <v>8</v>
      </c>
      <c r="C68" s="42">
        <v>23</v>
      </c>
      <c r="D68" s="42">
        <v>31</v>
      </c>
      <c r="E68" s="42">
        <v>13</v>
      </c>
      <c r="F68" s="42">
        <v>48</v>
      </c>
      <c r="G68" s="42">
        <v>11</v>
      </c>
      <c r="H68" s="42">
        <v>35</v>
      </c>
      <c r="I68" s="42">
        <v>9</v>
      </c>
      <c r="J68" s="42">
        <v>40</v>
      </c>
      <c r="K68" s="42">
        <v>546</v>
      </c>
      <c r="L68" s="42">
        <v>1358</v>
      </c>
      <c r="M68" s="42">
        <v>2270</v>
      </c>
      <c r="N68" s="42">
        <v>1102</v>
      </c>
      <c r="O68" s="42">
        <v>3001</v>
      </c>
      <c r="P68" s="42">
        <v>964</v>
      </c>
      <c r="Q68" s="42">
        <v>1646</v>
      </c>
      <c r="R68" s="42">
        <v>858</v>
      </c>
      <c r="S68" s="42">
        <v>2771</v>
      </c>
      <c r="T68" s="44">
        <v>15.3</v>
      </c>
      <c r="U68" s="44">
        <v>17.3</v>
      </c>
      <c r="V68" s="44">
        <v>13.8</v>
      </c>
      <c r="W68" s="44">
        <v>12.1</v>
      </c>
      <c r="X68" s="44">
        <v>16.100000000000001</v>
      </c>
      <c r="Y68" s="44">
        <v>11.6</v>
      </c>
      <c r="Z68" s="44">
        <v>21.1</v>
      </c>
      <c r="AA68" s="44">
        <v>10.9</v>
      </c>
      <c r="AB68" s="44">
        <v>14.3</v>
      </c>
    </row>
    <row r="69" spans="1:28" ht="15" customHeight="1" x14ac:dyDescent="0.25">
      <c r="A69" s="41" t="s">
        <v>149</v>
      </c>
      <c r="B69" s="42">
        <v>6</v>
      </c>
      <c r="C69" s="42">
        <v>28</v>
      </c>
      <c r="D69" s="42">
        <v>33</v>
      </c>
      <c r="E69" s="42">
        <v>10</v>
      </c>
      <c r="F69" s="42">
        <v>62</v>
      </c>
      <c r="G69" s="42">
        <v>14</v>
      </c>
      <c r="H69" s="42">
        <v>30</v>
      </c>
      <c r="I69" s="42">
        <v>7</v>
      </c>
      <c r="J69" s="42">
        <v>24</v>
      </c>
      <c r="K69" s="42">
        <v>657</v>
      </c>
      <c r="L69" s="42">
        <v>1728</v>
      </c>
      <c r="M69" s="42">
        <v>2147</v>
      </c>
      <c r="N69" s="42">
        <v>614</v>
      </c>
      <c r="O69" s="42">
        <v>3490</v>
      </c>
      <c r="P69" s="42">
        <v>764</v>
      </c>
      <c r="Q69" s="42">
        <v>1821</v>
      </c>
      <c r="R69" s="42">
        <v>597</v>
      </c>
      <c r="S69" s="42">
        <v>1657</v>
      </c>
      <c r="T69" s="44">
        <v>9</v>
      </c>
      <c r="U69" s="44">
        <v>16.5</v>
      </c>
      <c r="V69" s="44">
        <v>15.2</v>
      </c>
      <c r="W69" s="44">
        <v>16.2</v>
      </c>
      <c r="X69" s="44">
        <v>17.899999999999999</v>
      </c>
      <c r="Y69" s="44">
        <v>18.100000000000001</v>
      </c>
      <c r="Z69" s="44">
        <v>16.399999999999999</v>
      </c>
      <c r="AA69" s="44">
        <v>11.8</v>
      </c>
      <c r="AB69" s="44">
        <v>14.5</v>
      </c>
    </row>
    <row r="70" spans="1:28" ht="15" customHeight="1" x14ac:dyDescent="0.25">
      <c r="A70" s="41" t="s">
        <v>150</v>
      </c>
      <c r="B70" s="42">
        <v>9</v>
      </c>
      <c r="C70" s="42">
        <v>31</v>
      </c>
      <c r="D70" s="42">
        <v>25</v>
      </c>
      <c r="E70" s="42">
        <v>12</v>
      </c>
      <c r="F70" s="42">
        <v>44</v>
      </c>
      <c r="G70" s="42">
        <v>9</v>
      </c>
      <c r="H70" s="42">
        <v>21</v>
      </c>
      <c r="I70" s="42">
        <v>13</v>
      </c>
      <c r="J70" s="42">
        <v>22</v>
      </c>
      <c r="K70" s="42">
        <v>686</v>
      </c>
      <c r="L70" s="42">
        <v>1843</v>
      </c>
      <c r="M70" s="42">
        <v>1548</v>
      </c>
      <c r="N70" s="42">
        <v>766</v>
      </c>
      <c r="O70" s="42">
        <v>2622</v>
      </c>
      <c r="P70" s="42">
        <v>447</v>
      </c>
      <c r="Q70" s="42">
        <v>1094</v>
      </c>
      <c r="R70" s="42">
        <v>689</v>
      </c>
      <c r="S70" s="42">
        <v>1246</v>
      </c>
      <c r="T70" s="44">
        <v>13.4</v>
      </c>
      <c r="U70" s="44">
        <v>16.7</v>
      </c>
      <c r="V70" s="44">
        <v>16</v>
      </c>
      <c r="W70" s="44">
        <v>16.100000000000001</v>
      </c>
      <c r="X70" s="44">
        <v>16.899999999999999</v>
      </c>
      <c r="Y70" s="44">
        <v>19.5</v>
      </c>
      <c r="Z70" s="44">
        <v>19.2</v>
      </c>
      <c r="AA70" s="44">
        <v>18.2</v>
      </c>
      <c r="AB70" s="44">
        <v>17.5</v>
      </c>
    </row>
    <row r="71" spans="1:28" ht="15" customHeight="1" x14ac:dyDescent="0.25">
      <c r="A71" s="41" t="s">
        <v>151</v>
      </c>
      <c r="B71" s="42">
        <v>10</v>
      </c>
      <c r="C71" s="42">
        <v>61</v>
      </c>
      <c r="D71" s="42">
        <v>34</v>
      </c>
      <c r="E71" s="42">
        <v>12</v>
      </c>
      <c r="F71" s="42">
        <v>43</v>
      </c>
      <c r="G71" s="42">
        <v>9</v>
      </c>
      <c r="H71" s="42">
        <v>28</v>
      </c>
      <c r="I71" s="42">
        <v>15</v>
      </c>
      <c r="J71" s="42">
        <v>34</v>
      </c>
      <c r="K71" s="42">
        <v>460</v>
      </c>
      <c r="L71" s="42">
        <v>2892</v>
      </c>
      <c r="M71" s="42">
        <v>1771</v>
      </c>
      <c r="N71" s="42">
        <v>626</v>
      </c>
      <c r="O71" s="42">
        <v>2150</v>
      </c>
      <c r="P71" s="42">
        <v>399</v>
      </c>
      <c r="Q71" s="42">
        <v>1178</v>
      </c>
      <c r="R71" s="42">
        <v>745</v>
      </c>
      <c r="S71" s="42">
        <v>1595</v>
      </c>
      <c r="T71" s="44">
        <v>21.2</v>
      </c>
      <c r="U71" s="44">
        <v>21.1</v>
      </c>
      <c r="V71" s="44">
        <v>19.399999999999999</v>
      </c>
      <c r="W71" s="44">
        <v>18.899999999999999</v>
      </c>
      <c r="X71" s="44">
        <v>20.2</v>
      </c>
      <c r="Y71" s="44">
        <v>21.8</v>
      </c>
      <c r="Z71" s="44">
        <v>24.2</v>
      </c>
      <c r="AA71" s="44">
        <v>19.899999999999999</v>
      </c>
      <c r="AB71" s="44">
        <v>21.2</v>
      </c>
    </row>
    <row r="72" spans="1:28" ht="24" customHeight="1" x14ac:dyDescent="0.25">
      <c r="A72" s="40" t="s">
        <v>152</v>
      </c>
      <c r="B72" s="45" t="s">
        <v>16</v>
      </c>
      <c r="C72" s="45" t="s">
        <v>16</v>
      </c>
      <c r="D72" s="45" t="s">
        <v>16</v>
      </c>
      <c r="E72" s="45" t="s">
        <v>16</v>
      </c>
      <c r="F72" s="45" t="s">
        <v>16</v>
      </c>
      <c r="G72" s="45" t="s">
        <v>16</v>
      </c>
      <c r="H72" s="45" t="s">
        <v>16</v>
      </c>
      <c r="I72" s="45" t="s">
        <v>16</v>
      </c>
      <c r="J72" s="45" t="s">
        <v>16</v>
      </c>
      <c r="K72" s="45" t="s">
        <v>16</v>
      </c>
      <c r="L72" s="45" t="s">
        <v>16</v>
      </c>
      <c r="M72" s="45" t="s">
        <v>16</v>
      </c>
      <c r="N72" s="45" t="s">
        <v>16</v>
      </c>
      <c r="O72" s="45" t="s">
        <v>16</v>
      </c>
      <c r="P72" s="45" t="s">
        <v>16</v>
      </c>
      <c r="Q72" s="45" t="s">
        <v>16</v>
      </c>
      <c r="R72" s="45" t="s">
        <v>16</v>
      </c>
      <c r="S72" s="45" t="s">
        <v>16</v>
      </c>
      <c r="T72" s="47" t="s">
        <v>16</v>
      </c>
      <c r="U72" s="47" t="s">
        <v>16</v>
      </c>
      <c r="V72" s="47" t="s">
        <v>16</v>
      </c>
      <c r="W72" s="47" t="s">
        <v>16</v>
      </c>
      <c r="X72" s="47" t="s">
        <v>16</v>
      </c>
      <c r="Y72" s="47" t="s">
        <v>16</v>
      </c>
      <c r="Z72" s="47" t="s">
        <v>16</v>
      </c>
      <c r="AA72" s="47" t="s">
        <v>16</v>
      </c>
      <c r="AB72" s="47" t="s">
        <v>16</v>
      </c>
    </row>
    <row r="73" spans="1:28" ht="15" customHeight="1" x14ac:dyDescent="0.25">
      <c r="A73" s="35" t="s">
        <v>153</v>
      </c>
      <c r="B73" s="42">
        <v>1</v>
      </c>
      <c r="C73" s="42">
        <v>4</v>
      </c>
      <c r="D73" s="42">
        <v>7</v>
      </c>
      <c r="E73" s="42">
        <v>4</v>
      </c>
      <c r="F73" s="42">
        <v>4</v>
      </c>
      <c r="G73" s="42">
        <v>3</v>
      </c>
      <c r="H73" s="42">
        <v>5</v>
      </c>
      <c r="I73" s="42">
        <v>2</v>
      </c>
      <c r="J73" s="42">
        <v>5</v>
      </c>
      <c r="K73" s="42">
        <v>310</v>
      </c>
      <c r="L73" s="42">
        <v>666</v>
      </c>
      <c r="M73" s="42">
        <v>1171</v>
      </c>
      <c r="N73" s="42">
        <v>600</v>
      </c>
      <c r="O73" s="42">
        <v>897</v>
      </c>
      <c r="P73" s="42">
        <v>618</v>
      </c>
      <c r="Q73" s="42">
        <v>994</v>
      </c>
      <c r="R73" s="42">
        <v>433</v>
      </c>
      <c r="S73" s="42">
        <v>860</v>
      </c>
      <c r="T73" s="44">
        <v>2</v>
      </c>
      <c r="U73" s="44">
        <v>5.5</v>
      </c>
      <c r="V73" s="44">
        <v>6.2</v>
      </c>
      <c r="W73" s="44">
        <v>6</v>
      </c>
      <c r="X73" s="44">
        <v>4.9000000000000004</v>
      </c>
      <c r="Y73" s="44">
        <v>5.4</v>
      </c>
      <c r="Z73" s="44">
        <v>5.2</v>
      </c>
      <c r="AA73" s="44">
        <v>5.3</v>
      </c>
      <c r="AB73" s="44">
        <v>5.3</v>
      </c>
    </row>
    <row r="74" spans="1:28" ht="15" customHeight="1" x14ac:dyDescent="0.25">
      <c r="A74" s="41" t="s">
        <v>154</v>
      </c>
      <c r="B74" s="42">
        <v>6</v>
      </c>
      <c r="C74" s="42">
        <v>15</v>
      </c>
      <c r="D74" s="42">
        <v>18</v>
      </c>
      <c r="E74" s="42">
        <v>8</v>
      </c>
      <c r="F74" s="42">
        <v>29</v>
      </c>
      <c r="G74" s="42">
        <v>12</v>
      </c>
      <c r="H74" s="42">
        <v>30</v>
      </c>
      <c r="I74" s="42">
        <v>8</v>
      </c>
      <c r="J74" s="42">
        <v>29</v>
      </c>
      <c r="K74" s="42">
        <v>812</v>
      </c>
      <c r="L74" s="42">
        <v>1531</v>
      </c>
      <c r="M74" s="42">
        <v>1976</v>
      </c>
      <c r="N74" s="42">
        <v>1051</v>
      </c>
      <c r="O74" s="42">
        <v>2852</v>
      </c>
      <c r="P74" s="42">
        <v>1269</v>
      </c>
      <c r="Q74" s="42">
        <v>2615</v>
      </c>
      <c r="R74" s="42">
        <v>896</v>
      </c>
      <c r="S74" s="42">
        <v>2734</v>
      </c>
      <c r="T74" s="44">
        <v>7.6</v>
      </c>
      <c r="U74" s="44">
        <v>9.6999999999999993</v>
      </c>
      <c r="V74" s="44">
        <v>9</v>
      </c>
      <c r="W74" s="44">
        <v>7.7</v>
      </c>
      <c r="X74" s="44">
        <v>10.3</v>
      </c>
      <c r="Y74" s="44">
        <v>9.6999999999999993</v>
      </c>
      <c r="Z74" s="44">
        <v>11.3</v>
      </c>
      <c r="AA74" s="44">
        <v>8.8000000000000007</v>
      </c>
      <c r="AB74" s="44">
        <v>10.5</v>
      </c>
    </row>
    <row r="75" spans="1:28" ht="15" customHeight="1" x14ac:dyDescent="0.25">
      <c r="A75" s="41" t="s">
        <v>155</v>
      </c>
      <c r="B75" s="42">
        <v>10</v>
      </c>
      <c r="C75" s="42">
        <v>32</v>
      </c>
      <c r="D75" s="42">
        <v>32</v>
      </c>
      <c r="E75" s="42">
        <v>17</v>
      </c>
      <c r="F75" s="42">
        <v>60</v>
      </c>
      <c r="G75" s="42">
        <v>11</v>
      </c>
      <c r="H75" s="42">
        <v>32</v>
      </c>
      <c r="I75" s="42">
        <v>13</v>
      </c>
      <c r="J75" s="42">
        <v>31</v>
      </c>
      <c r="K75" s="42">
        <v>901</v>
      </c>
      <c r="L75" s="42">
        <v>2431</v>
      </c>
      <c r="M75" s="42">
        <v>2736</v>
      </c>
      <c r="N75" s="42">
        <v>1620</v>
      </c>
      <c r="O75" s="42">
        <v>5083</v>
      </c>
      <c r="P75" s="42">
        <v>876</v>
      </c>
      <c r="Q75" s="42">
        <v>2522</v>
      </c>
      <c r="R75" s="42">
        <v>1161</v>
      </c>
      <c r="S75" s="42">
        <v>3096</v>
      </c>
      <c r="T75" s="44">
        <v>11.1</v>
      </c>
      <c r="U75" s="44">
        <v>13.1</v>
      </c>
      <c r="V75" s="44">
        <v>11.7</v>
      </c>
      <c r="W75" s="44">
        <v>10.8</v>
      </c>
      <c r="X75" s="44">
        <v>11.9</v>
      </c>
      <c r="Y75" s="44">
        <v>12.3</v>
      </c>
      <c r="Z75" s="44">
        <v>12.5</v>
      </c>
      <c r="AA75" s="44">
        <v>11.3</v>
      </c>
      <c r="AB75" s="44">
        <v>10.1</v>
      </c>
    </row>
    <row r="76" spans="1:28" ht="15" customHeight="1" x14ac:dyDescent="0.25">
      <c r="A76" s="35" t="s">
        <v>156</v>
      </c>
      <c r="B76" s="42">
        <v>12</v>
      </c>
      <c r="C76" s="42">
        <v>34</v>
      </c>
      <c r="D76" s="42">
        <v>39</v>
      </c>
      <c r="E76" s="42">
        <v>14</v>
      </c>
      <c r="F76" s="42">
        <v>62</v>
      </c>
      <c r="G76" s="42">
        <v>10</v>
      </c>
      <c r="H76" s="42">
        <v>27</v>
      </c>
      <c r="I76" s="42">
        <v>13</v>
      </c>
      <c r="J76" s="42">
        <v>39</v>
      </c>
      <c r="K76" s="42">
        <v>984</v>
      </c>
      <c r="L76" s="42">
        <v>2329</v>
      </c>
      <c r="M76" s="42">
        <v>2591</v>
      </c>
      <c r="N76" s="42">
        <v>1037</v>
      </c>
      <c r="O76" s="42">
        <v>3440</v>
      </c>
      <c r="P76" s="42">
        <v>476</v>
      </c>
      <c r="Q76" s="42">
        <v>1331</v>
      </c>
      <c r="R76" s="42">
        <v>807</v>
      </c>
      <c r="S76" s="42">
        <v>2804</v>
      </c>
      <c r="T76" s="44">
        <v>11.7</v>
      </c>
      <c r="U76" s="44">
        <v>14.5</v>
      </c>
      <c r="V76" s="44">
        <v>14.9</v>
      </c>
      <c r="W76" s="44">
        <v>13.9</v>
      </c>
      <c r="X76" s="44">
        <v>17.899999999999999</v>
      </c>
      <c r="Y76" s="44">
        <v>20.2</v>
      </c>
      <c r="Z76" s="44">
        <v>20.399999999999999</v>
      </c>
      <c r="AA76" s="44">
        <v>15.9</v>
      </c>
      <c r="AB76" s="44">
        <v>14</v>
      </c>
    </row>
    <row r="77" spans="1:28" ht="15" customHeight="1" x14ac:dyDescent="0.25">
      <c r="A77" s="41" t="s">
        <v>157</v>
      </c>
      <c r="B77" s="42">
        <v>9</v>
      </c>
      <c r="C77" s="42">
        <v>26</v>
      </c>
      <c r="D77" s="42">
        <v>31</v>
      </c>
      <c r="E77" s="42">
        <v>16</v>
      </c>
      <c r="F77" s="42">
        <v>48</v>
      </c>
      <c r="G77" s="42">
        <v>11</v>
      </c>
      <c r="H77" s="42">
        <v>22</v>
      </c>
      <c r="I77" s="42">
        <v>8</v>
      </c>
      <c r="J77" s="42">
        <v>29</v>
      </c>
      <c r="K77" s="42">
        <v>530</v>
      </c>
      <c r="L77" s="42">
        <v>1351</v>
      </c>
      <c r="M77" s="42">
        <v>1593</v>
      </c>
      <c r="N77" s="42">
        <v>818</v>
      </c>
      <c r="O77" s="42">
        <v>1846</v>
      </c>
      <c r="P77" s="42">
        <v>503</v>
      </c>
      <c r="Q77" s="42">
        <v>784</v>
      </c>
      <c r="R77" s="42">
        <v>400</v>
      </c>
      <c r="S77" s="42">
        <v>1539</v>
      </c>
      <c r="T77" s="44">
        <v>17.600000000000001</v>
      </c>
      <c r="U77" s="44">
        <v>19.5</v>
      </c>
      <c r="V77" s="44">
        <v>19.7</v>
      </c>
      <c r="W77" s="44">
        <v>19.399999999999999</v>
      </c>
      <c r="X77" s="44">
        <v>25.7</v>
      </c>
      <c r="Y77" s="44">
        <v>21</v>
      </c>
      <c r="Z77" s="44">
        <v>28.2</v>
      </c>
      <c r="AA77" s="44">
        <v>19.8</v>
      </c>
      <c r="AB77" s="44">
        <v>18.8</v>
      </c>
    </row>
    <row r="78" spans="1:28" ht="15" customHeight="1" x14ac:dyDescent="0.25">
      <c r="A78" s="41" t="s">
        <v>158</v>
      </c>
      <c r="B78" s="36">
        <v>13</v>
      </c>
      <c r="C78" s="36">
        <v>59</v>
      </c>
      <c r="D78" s="36">
        <v>47</v>
      </c>
      <c r="E78" s="36">
        <v>15</v>
      </c>
      <c r="F78" s="36">
        <v>83</v>
      </c>
      <c r="G78" s="36">
        <v>24</v>
      </c>
      <c r="H78" s="36">
        <v>57</v>
      </c>
      <c r="I78" s="36">
        <v>23</v>
      </c>
      <c r="J78" s="36">
        <v>43</v>
      </c>
      <c r="K78" s="36">
        <v>655</v>
      </c>
      <c r="L78" s="36">
        <v>2792</v>
      </c>
      <c r="M78" s="36">
        <v>2476</v>
      </c>
      <c r="N78" s="36">
        <v>890</v>
      </c>
      <c r="O78" s="36">
        <v>3490</v>
      </c>
      <c r="P78" s="36">
        <v>1082</v>
      </c>
      <c r="Q78" s="36">
        <v>2348</v>
      </c>
      <c r="R78" s="36">
        <v>1115</v>
      </c>
      <c r="S78" s="36">
        <v>2147</v>
      </c>
      <c r="T78" s="38">
        <v>19.7</v>
      </c>
      <c r="U78" s="38">
        <v>21.2</v>
      </c>
      <c r="V78" s="38">
        <v>19.100000000000001</v>
      </c>
      <c r="W78" s="38">
        <v>17.3</v>
      </c>
      <c r="X78" s="38">
        <v>23.8</v>
      </c>
      <c r="Y78" s="38">
        <v>22.2</v>
      </c>
      <c r="Z78" s="38">
        <v>24.4</v>
      </c>
      <c r="AA78" s="38">
        <v>20.7</v>
      </c>
      <c r="AB78" s="38">
        <v>20.100000000000001</v>
      </c>
    </row>
    <row r="79" spans="1:28" ht="24" customHeight="1" x14ac:dyDescent="0.25">
      <c r="A79" s="40" t="s">
        <v>159</v>
      </c>
      <c r="B79" s="45" t="s">
        <v>16</v>
      </c>
      <c r="C79" s="45" t="s">
        <v>16</v>
      </c>
      <c r="D79" s="45" t="s">
        <v>16</v>
      </c>
      <c r="E79" s="45" t="s">
        <v>16</v>
      </c>
      <c r="F79" s="45" t="s">
        <v>16</v>
      </c>
      <c r="G79" s="45" t="s">
        <v>16</v>
      </c>
      <c r="H79" s="45" t="s">
        <v>16</v>
      </c>
      <c r="I79" s="45" t="s">
        <v>16</v>
      </c>
      <c r="J79" s="45" t="s">
        <v>16</v>
      </c>
      <c r="K79" s="45" t="s">
        <v>16</v>
      </c>
      <c r="L79" s="45" t="s">
        <v>16</v>
      </c>
      <c r="M79" s="45" t="s">
        <v>16</v>
      </c>
      <c r="N79" s="45" t="s">
        <v>16</v>
      </c>
      <c r="O79" s="45" t="s">
        <v>16</v>
      </c>
      <c r="P79" s="45" t="s">
        <v>16</v>
      </c>
      <c r="Q79" s="45" t="s">
        <v>16</v>
      </c>
      <c r="R79" s="45" t="s">
        <v>16</v>
      </c>
      <c r="S79" s="45" t="s">
        <v>16</v>
      </c>
      <c r="T79" s="47" t="s">
        <v>16</v>
      </c>
      <c r="U79" s="47" t="s">
        <v>16</v>
      </c>
      <c r="V79" s="47" t="s">
        <v>16</v>
      </c>
      <c r="W79" s="47" t="s">
        <v>16</v>
      </c>
      <c r="X79" s="47" t="s">
        <v>16</v>
      </c>
      <c r="Y79" s="47" t="s">
        <v>16</v>
      </c>
      <c r="Z79" s="47" t="s">
        <v>16</v>
      </c>
      <c r="AA79" s="47" t="s">
        <v>16</v>
      </c>
      <c r="AB79" s="47" t="s">
        <v>16</v>
      </c>
    </row>
    <row r="80" spans="1:28" ht="15" customHeight="1" x14ac:dyDescent="0.25">
      <c r="A80" s="35" t="s">
        <v>160</v>
      </c>
      <c r="B80" s="42">
        <v>40</v>
      </c>
      <c r="C80" s="42">
        <v>134</v>
      </c>
      <c r="D80" s="42">
        <v>136</v>
      </c>
      <c r="E80" s="42">
        <v>55</v>
      </c>
      <c r="F80" s="42">
        <v>229</v>
      </c>
      <c r="G80" s="42">
        <v>52</v>
      </c>
      <c r="H80" s="42">
        <v>140</v>
      </c>
      <c r="I80" s="42">
        <v>52</v>
      </c>
      <c r="J80" s="42">
        <v>149</v>
      </c>
      <c r="K80" s="42">
        <v>3204</v>
      </c>
      <c r="L80" s="42">
        <v>8466</v>
      </c>
      <c r="M80" s="42">
        <v>9315</v>
      </c>
      <c r="N80" s="42">
        <v>4537</v>
      </c>
      <c r="O80" s="42">
        <v>13754</v>
      </c>
      <c r="P80" s="42">
        <v>3430</v>
      </c>
      <c r="Q80" s="42">
        <v>8213</v>
      </c>
      <c r="R80" s="42">
        <v>3472</v>
      </c>
      <c r="S80" s="42">
        <v>11229</v>
      </c>
      <c r="T80" s="44">
        <v>12.5</v>
      </c>
      <c r="U80" s="44">
        <v>15.8</v>
      </c>
      <c r="V80" s="44">
        <v>14.6</v>
      </c>
      <c r="W80" s="44">
        <v>12.2</v>
      </c>
      <c r="X80" s="44">
        <v>16.600000000000001</v>
      </c>
      <c r="Y80" s="44">
        <v>15.3</v>
      </c>
      <c r="Z80" s="44">
        <v>17.100000000000001</v>
      </c>
      <c r="AA80" s="44">
        <v>15</v>
      </c>
      <c r="AB80" s="44">
        <v>13.2</v>
      </c>
    </row>
    <row r="81" spans="1:28" ht="15" customHeight="1" x14ac:dyDescent="0.25">
      <c r="A81" s="39" t="s">
        <v>161</v>
      </c>
      <c r="B81" s="42">
        <v>15</v>
      </c>
      <c r="C81" s="42">
        <v>57</v>
      </c>
      <c r="D81" s="42">
        <v>63</v>
      </c>
      <c r="E81" s="42">
        <v>32</v>
      </c>
      <c r="F81" s="42">
        <v>95</v>
      </c>
      <c r="G81" s="42">
        <v>32</v>
      </c>
      <c r="H81" s="42">
        <v>77</v>
      </c>
      <c r="I81" s="42">
        <v>23</v>
      </c>
      <c r="J81" s="42">
        <v>61</v>
      </c>
      <c r="K81" s="42">
        <v>1452</v>
      </c>
      <c r="L81" s="42">
        <v>3933</v>
      </c>
      <c r="M81" s="42">
        <v>4624</v>
      </c>
      <c r="N81" s="42">
        <v>2634</v>
      </c>
      <c r="O81" s="42">
        <v>5694</v>
      </c>
      <c r="P81" s="42">
        <v>1975</v>
      </c>
      <c r="Q81" s="42">
        <v>4344</v>
      </c>
      <c r="R81" s="42">
        <v>1539</v>
      </c>
      <c r="S81" s="42">
        <v>4125</v>
      </c>
      <c r="T81" s="44">
        <v>10.5</v>
      </c>
      <c r="U81" s="44">
        <v>14.6</v>
      </c>
      <c r="V81" s="44">
        <v>13.5</v>
      </c>
      <c r="W81" s="44">
        <v>12.2</v>
      </c>
      <c r="X81" s="44">
        <v>16.7</v>
      </c>
      <c r="Y81" s="44">
        <v>16.399999999999999</v>
      </c>
      <c r="Z81" s="44">
        <v>17.8</v>
      </c>
      <c r="AA81" s="44">
        <v>14.9</v>
      </c>
      <c r="AB81" s="44">
        <v>14.7</v>
      </c>
    </row>
    <row r="82" spans="1:28" ht="15" customHeight="1" x14ac:dyDescent="0.25">
      <c r="A82" s="39" t="s">
        <v>162</v>
      </c>
      <c r="B82" s="42">
        <v>16</v>
      </c>
      <c r="C82" s="42">
        <v>59</v>
      </c>
      <c r="D82" s="42">
        <v>53</v>
      </c>
      <c r="E82" s="42">
        <v>16</v>
      </c>
      <c r="F82" s="42">
        <v>99</v>
      </c>
      <c r="G82" s="42">
        <v>16</v>
      </c>
      <c r="H82" s="42">
        <v>49</v>
      </c>
      <c r="I82" s="42">
        <v>20</v>
      </c>
      <c r="J82" s="42">
        <v>69</v>
      </c>
      <c r="K82" s="42">
        <v>1111</v>
      </c>
      <c r="L82" s="42">
        <v>3305</v>
      </c>
      <c r="M82" s="42">
        <v>3303</v>
      </c>
      <c r="N82" s="42">
        <v>1357</v>
      </c>
      <c r="O82" s="42">
        <v>5897</v>
      </c>
      <c r="P82" s="42">
        <v>1111</v>
      </c>
      <c r="Q82" s="42">
        <v>2922</v>
      </c>
      <c r="R82" s="42">
        <v>1385</v>
      </c>
      <c r="S82" s="42">
        <v>5418</v>
      </c>
      <c r="T82" s="44">
        <v>14.7</v>
      </c>
      <c r="U82" s="44">
        <v>17.899999999999999</v>
      </c>
      <c r="V82" s="44">
        <v>16</v>
      </c>
      <c r="W82" s="44">
        <v>12.1</v>
      </c>
      <c r="X82" s="44">
        <v>16.8</v>
      </c>
      <c r="Y82" s="44">
        <v>14.3</v>
      </c>
      <c r="Z82" s="44">
        <v>16.7</v>
      </c>
      <c r="AA82" s="44">
        <v>14.2</v>
      </c>
      <c r="AB82" s="44">
        <v>12.8</v>
      </c>
    </row>
    <row r="83" spans="1:28" ht="15" customHeight="1" x14ac:dyDescent="0.25">
      <c r="A83" s="39" t="s">
        <v>163</v>
      </c>
      <c r="B83" s="42">
        <v>9</v>
      </c>
      <c r="C83" s="42">
        <v>17</v>
      </c>
      <c r="D83" s="42">
        <v>20</v>
      </c>
      <c r="E83" s="42">
        <v>7</v>
      </c>
      <c r="F83" s="42">
        <v>34</v>
      </c>
      <c r="G83" s="42">
        <v>4</v>
      </c>
      <c r="H83" s="42">
        <v>14</v>
      </c>
      <c r="I83" s="42">
        <v>9</v>
      </c>
      <c r="J83" s="42">
        <v>18</v>
      </c>
      <c r="K83" s="42">
        <v>604</v>
      </c>
      <c r="L83" s="42">
        <v>1182</v>
      </c>
      <c r="M83" s="42">
        <v>1246</v>
      </c>
      <c r="N83" s="42">
        <v>497</v>
      </c>
      <c r="O83" s="42">
        <v>2071</v>
      </c>
      <c r="P83" s="42">
        <v>330</v>
      </c>
      <c r="Q83" s="42">
        <v>840</v>
      </c>
      <c r="R83" s="42">
        <v>504</v>
      </c>
      <c r="S83" s="42">
        <v>1546</v>
      </c>
      <c r="T83" s="44">
        <v>14.3</v>
      </c>
      <c r="U83" s="44">
        <v>14.6</v>
      </c>
      <c r="V83" s="44">
        <v>16.3</v>
      </c>
      <c r="W83" s="44">
        <v>13.9</v>
      </c>
      <c r="X83" s="44">
        <v>16.5</v>
      </c>
      <c r="Y83" s="44">
        <v>12.2</v>
      </c>
      <c r="Z83" s="44">
        <v>16.399999999999999</v>
      </c>
      <c r="AA83" s="44">
        <v>18.3</v>
      </c>
      <c r="AB83" s="44">
        <v>11.7</v>
      </c>
    </row>
    <row r="84" spans="1:28" ht="15" customHeight="1" x14ac:dyDescent="0.25">
      <c r="A84" s="39" t="s">
        <v>164</v>
      </c>
      <c r="B84" s="42" t="s">
        <v>28</v>
      </c>
      <c r="C84" s="42" t="s">
        <v>28</v>
      </c>
      <c r="D84" s="42" t="s">
        <v>28</v>
      </c>
      <c r="E84" s="42" t="s">
        <v>28</v>
      </c>
      <c r="F84" s="42" t="s">
        <v>28</v>
      </c>
      <c r="G84" s="42" t="s">
        <v>28</v>
      </c>
      <c r="H84" s="42" t="s">
        <v>28</v>
      </c>
      <c r="I84" s="42" t="s">
        <v>28</v>
      </c>
      <c r="J84" s="42" t="s">
        <v>28</v>
      </c>
      <c r="K84" s="42" t="s">
        <v>28</v>
      </c>
      <c r="L84" s="42" t="s">
        <v>28</v>
      </c>
      <c r="M84" s="42" t="s">
        <v>28</v>
      </c>
      <c r="N84" s="42" t="s">
        <v>28</v>
      </c>
      <c r="O84" s="42" t="s">
        <v>28</v>
      </c>
      <c r="P84" s="42" t="s">
        <v>28</v>
      </c>
      <c r="Q84" s="42" t="s">
        <v>28</v>
      </c>
      <c r="R84" s="42" t="s">
        <v>28</v>
      </c>
      <c r="S84" s="42" t="s">
        <v>28</v>
      </c>
      <c r="T84" s="44" t="s">
        <v>28</v>
      </c>
      <c r="U84" s="44" t="s">
        <v>28</v>
      </c>
      <c r="V84" s="44" t="s">
        <v>28</v>
      </c>
      <c r="W84" s="44" t="s">
        <v>28</v>
      </c>
      <c r="X84" s="44" t="s">
        <v>28</v>
      </c>
      <c r="Y84" s="44" t="s">
        <v>28</v>
      </c>
      <c r="Z84" s="44" t="s">
        <v>28</v>
      </c>
      <c r="AA84" s="44" t="s">
        <v>28</v>
      </c>
      <c r="AB84" s="44" t="s">
        <v>28</v>
      </c>
    </row>
    <row r="85" spans="1:28" ht="15" customHeight="1" x14ac:dyDescent="0.25">
      <c r="A85" s="41" t="s">
        <v>165</v>
      </c>
      <c r="B85" s="42">
        <v>10</v>
      </c>
      <c r="C85" s="42">
        <v>36</v>
      </c>
      <c r="D85" s="42">
        <v>38</v>
      </c>
      <c r="E85" s="42">
        <v>19</v>
      </c>
      <c r="F85" s="42">
        <v>58</v>
      </c>
      <c r="G85" s="42">
        <v>18</v>
      </c>
      <c r="H85" s="42">
        <v>33</v>
      </c>
      <c r="I85" s="42">
        <v>15</v>
      </c>
      <c r="J85" s="42">
        <v>27</v>
      </c>
      <c r="K85" s="42">
        <v>988</v>
      </c>
      <c r="L85" s="42">
        <v>2634</v>
      </c>
      <c r="M85" s="42">
        <v>3228</v>
      </c>
      <c r="N85" s="42">
        <v>1479</v>
      </c>
      <c r="O85" s="42">
        <v>3853</v>
      </c>
      <c r="P85" s="42">
        <v>1394</v>
      </c>
      <c r="Q85" s="42">
        <v>2382</v>
      </c>
      <c r="R85" s="42">
        <v>1340</v>
      </c>
      <c r="S85" s="42">
        <v>1951</v>
      </c>
      <c r="T85" s="44">
        <v>10.5</v>
      </c>
      <c r="U85" s="44">
        <v>13.7</v>
      </c>
      <c r="V85" s="44">
        <v>11.9</v>
      </c>
      <c r="W85" s="44">
        <v>13.2</v>
      </c>
      <c r="X85" s="44">
        <v>15</v>
      </c>
      <c r="Y85" s="44">
        <v>13.1</v>
      </c>
      <c r="Z85" s="44">
        <v>13.8</v>
      </c>
      <c r="AA85" s="44">
        <v>11.2</v>
      </c>
      <c r="AB85" s="44">
        <v>13.9</v>
      </c>
    </row>
    <row r="86" spans="1:28" ht="15" customHeight="1" x14ac:dyDescent="0.25">
      <c r="A86" s="39" t="s">
        <v>166</v>
      </c>
      <c r="B86" s="42" t="s">
        <v>28</v>
      </c>
      <c r="C86" s="42" t="s">
        <v>28</v>
      </c>
      <c r="D86" s="42" t="s">
        <v>28</v>
      </c>
      <c r="E86" s="42" t="s">
        <v>28</v>
      </c>
      <c r="F86" s="42">
        <v>10</v>
      </c>
      <c r="G86" s="42" t="s">
        <v>28</v>
      </c>
      <c r="H86" s="42" t="s">
        <v>28</v>
      </c>
      <c r="I86" s="42" t="s">
        <v>28</v>
      </c>
      <c r="J86" s="42" t="s">
        <v>28</v>
      </c>
      <c r="K86" s="42" t="s">
        <v>28</v>
      </c>
      <c r="L86" s="42" t="s">
        <v>28</v>
      </c>
      <c r="M86" s="42" t="s">
        <v>28</v>
      </c>
      <c r="N86" s="42" t="s">
        <v>28</v>
      </c>
      <c r="O86" s="42">
        <v>666</v>
      </c>
      <c r="P86" s="42" t="s">
        <v>28</v>
      </c>
      <c r="Q86" s="42" t="s">
        <v>28</v>
      </c>
      <c r="R86" s="42" t="s">
        <v>28</v>
      </c>
      <c r="S86" s="42" t="s">
        <v>28</v>
      </c>
      <c r="T86" s="44" t="s">
        <v>28</v>
      </c>
      <c r="U86" s="44" t="s">
        <v>28</v>
      </c>
      <c r="V86" s="44" t="s">
        <v>28</v>
      </c>
      <c r="W86" s="44" t="s">
        <v>28</v>
      </c>
      <c r="X86" s="44">
        <v>15.4</v>
      </c>
      <c r="Y86" s="44" t="s">
        <v>28</v>
      </c>
      <c r="Z86" s="44" t="s">
        <v>28</v>
      </c>
      <c r="AA86" s="44" t="s">
        <v>28</v>
      </c>
      <c r="AB86" s="44" t="s">
        <v>28</v>
      </c>
    </row>
    <row r="87" spans="1:28" ht="15" customHeight="1" x14ac:dyDescent="0.25">
      <c r="A87" s="39" t="s">
        <v>167</v>
      </c>
      <c r="B87" s="42" t="s">
        <v>28</v>
      </c>
      <c r="C87" s="42" t="s">
        <v>28</v>
      </c>
      <c r="D87" s="42">
        <v>10</v>
      </c>
      <c r="E87" s="42" t="s">
        <v>28</v>
      </c>
      <c r="F87" s="42">
        <v>12</v>
      </c>
      <c r="G87" s="42">
        <v>9</v>
      </c>
      <c r="H87" s="42">
        <v>8</v>
      </c>
      <c r="I87" s="42">
        <v>5</v>
      </c>
      <c r="J87" s="42">
        <v>9</v>
      </c>
      <c r="K87" s="42" t="s">
        <v>28</v>
      </c>
      <c r="L87" s="42">
        <v>948</v>
      </c>
      <c r="M87" s="42">
        <v>780</v>
      </c>
      <c r="N87" s="42">
        <v>362</v>
      </c>
      <c r="O87" s="42">
        <v>715</v>
      </c>
      <c r="P87" s="42" t="s">
        <v>28</v>
      </c>
      <c r="Q87" s="42">
        <v>660</v>
      </c>
      <c r="R87" s="42">
        <v>502</v>
      </c>
      <c r="S87" s="42">
        <v>620</v>
      </c>
      <c r="T87" s="44" t="s">
        <v>28</v>
      </c>
      <c r="U87" s="44">
        <v>18.7</v>
      </c>
      <c r="V87" s="44">
        <v>13.4</v>
      </c>
      <c r="W87" s="44">
        <v>16.2</v>
      </c>
      <c r="X87" s="44">
        <v>16.399999999999999</v>
      </c>
      <c r="Y87" s="44" t="s">
        <v>28</v>
      </c>
      <c r="Z87" s="44">
        <v>12.6</v>
      </c>
      <c r="AA87" s="44">
        <v>10.9</v>
      </c>
      <c r="AB87" s="44">
        <v>14.6</v>
      </c>
    </row>
    <row r="88" spans="1:28" ht="15" customHeight="1" x14ac:dyDescent="0.25">
      <c r="A88" s="39" t="s">
        <v>168</v>
      </c>
      <c r="B88" s="42">
        <v>7</v>
      </c>
      <c r="C88" s="42">
        <v>16</v>
      </c>
      <c r="D88" s="42">
        <v>24</v>
      </c>
      <c r="E88" s="42">
        <v>13</v>
      </c>
      <c r="F88" s="42">
        <v>36</v>
      </c>
      <c r="G88" s="42">
        <v>8</v>
      </c>
      <c r="H88" s="42">
        <v>23</v>
      </c>
      <c r="I88" s="42">
        <v>8</v>
      </c>
      <c r="J88" s="42">
        <v>17</v>
      </c>
      <c r="K88" s="42">
        <v>752</v>
      </c>
      <c r="L88" s="42">
        <v>1461</v>
      </c>
      <c r="M88" s="42">
        <v>2243</v>
      </c>
      <c r="N88" s="42">
        <v>1048</v>
      </c>
      <c r="O88" s="42">
        <v>2472</v>
      </c>
      <c r="P88" s="42">
        <v>569</v>
      </c>
      <c r="Q88" s="42">
        <v>1642</v>
      </c>
      <c r="R88" s="42">
        <v>758</v>
      </c>
      <c r="S88" s="42">
        <v>1207</v>
      </c>
      <c r="T88" s="44">
        <v>9.3000000000000007</v>
      </c>
      <c r="U88" s="44">
        <v>11.1</v>
      </c>
      <c r="V88" s="44">
        <v>10.8</v>
      </c>
      <c r="W88" s="44">
        <v>12.2</v>
      </c>
      <c r="X88" s="44">
        <v>14.5</v>
      </c>
      <c r="Y88" s="44">
        <v>14.2</v>
      </c>
      <c r="Z88" s="44">
        <v>13.8</v>
      </c>
      <c r="AA88" s="44">
        <v>11.1</v>
      </c>
      <c r="AB88" s="44">
        <v>13.8</v>
      </c>
    </row>
    <row r="89" spans="1:28" ht="45.95" customHeight="1" x14ac:dyDescent="0.25">
      <c r="A89" s="40" t="s">
        <v>169</v>
      </c>
      <c r="B89" s="45" t="s">
        <v>16</v>
      </c>
      <c r="C89" s="45" t="s">
        <v>16</v>
      </c>
      <c r="D89" s="45" t="s">
        <v>16</v>
      </c>
      <c r="E89" s="45" t="s">
        <v>16</v>
      </c>
      <c r="F89" s="45" t="s">
        <v>16</v>
      </c>
      <c r="G89" s="45" t="s">
        <v>16</v>
      </c>
      <c r="H89" s="45" t="s">
        <v>16</v>
      </c>
      <c r="I89" s="45" t="s">
        <v>16</v>
      </c>
      <c r="J89" s="45" t="s">
        <v>16</v>
      </c>
      <c r="K89" s="45" t="s">
        <v>16</v>
      </c>
      <c r="L89" s="45" t="s">
        <v>16</v>
      </c>
      <c r="M89" s="45" t="s">
        <v>16</v>
      </c>
      <c r="N89" s="45" t="s">
        <v>16</v>
      </c>
      <c r="O89" s="45" t="s">
        <v>16</v>
      </c>
      <c r="P89" s="45" t="s">
        <v>16</v>
      </c>
      <c r="Q89" s="45" t="s">
        <v>16</v>
      </c>
      <c r="R89" s="45" t="s">
        <v>16</v>
      </c>
      <c r="S89" s="45" t="s">
        <v>16</v>
      </c>
      <c r="T89" s="47" t="s">
        <v>16</v>
      </c>
      <c r="U89" s="47" t="s">
        <v>16</v>
      </c>
      <c r="V89" s="47" t="s">
        <v>16</v>
      </c>
      <c r="W89" s="47" t="s">
        <v>16</v>
      </c>
      <c r="X89" s="47" t="s">
        <v>16</v>
      </c>
      <c r="Y89" s="47" t="s">
        <v>16</v>
      </c>
      <c r="Z89" s="47" t="s">
        <v>16</v>
      </c>
      <c r="AA89" s="47" t="s">
        <v>16</v>
      </c>
      <c r="AB89" s="47" t="s">
        <v>16</v>
      </c>
    </row>
    <row r="90" spans="1:28" ht="15" customHeight="1" x14ac:dyDescent="0.25">
      <c r="A90" s="35" t="s">
        <v>170</v>
      </c>
      <c r="B90" s="42">
        <v>40</v>
      </c>
      <c r="C90" s="42">
        <v>140</v>
      </c>
      <c r="D90" s="42">
        <v>152</v>
      </c>
      <c r="E90" s="42">
        <v>67</v>
      </c>
      <c r="F90" s="42">
        <v>227</v>
      </c>
      <c r="G90" s="42">
        <v>59</v>
      </c>
      <c r="H90" s="42">
        <v>148</v>
      </c>
      <c r="I90" s="42">
        <v>57</v>
      </c>
      <c r="J90" s="42">
        <v>138</v>
      </c>
      <c r="K90" s="42">
        <v>3515</v>
      </c>
      <c r="L90" s="42">
        <v>9551</v>
      </c>
      <c r="M90" s="42">
        <v>11077</v>
      </c>
      <c r="N90" s="42">
        <v>5389</v>
      </c>
      <c r="O90" s="42">
        <v>14210</v>
      </c>
      <c r="P90" s="42">
        <v>4116</v>
      </c>
      <c r="Q90" s="42">
        <v>9355</v>
      </c>
      <c r="R90" s="42">
        <v>4108</v>
      </c>
      <c r="S90" s="42">
        <v>10342</v>
      </c>
      <c r="T90" s="44">
        <v>11.5</v>
      </c>
      <c r="U90" s="44">
        <v>14.7</v>
      </c>
      <c r="V90" s="44">
        <v>13.7</v>
      </c>
      <c r="W90" s="44">
        <v>12.4</v>
      </c>
      <c r="X90" s="44">
        <v>16</v>
      </c>
      <c r="Y90" s="44">
        <v>14.4</v>
      </c>
      <c r="Z90" s="44">
        <v>15.9</v>
      </c>
      <c r="AA90" s="44">
        <v>13.8</v>
      </c>
      <c r="AB90" s="44">
        <v>13.4</v>
      </c>
    </row>
    <row r="91" spans="1:28" ht="15" customHeight="1" x14ac:dyDescent="0.25">
      <c r="A91" s="41" t="s">
        <v>171</v>
      </c>
      <c r="B91" s="42">
        <v>7</v>
      </c>
      <c r="C91" s="42">
        <v>27</v>
      </c>
      <c r="D91" s="42">
        <v>20</v>
      </c>
      <c r="E91" s="42">
        <v>6</v>
      </c>
      <c r="F91" s="42">
        <v>49</v>
      </c>
      <c r="G91" s="42">
        <v>9</v>
      </c>
      <c r="H91" s="42">
        <v>20</v>
      </c>
      <c r="I91" s="42">
        <v>10</v>
      </c>
      <c r="J91" s="42">
        <v>34</v>
      </c>
      <c r="K91" s="42">
        <v>528</v>
      </c>
      <c r="L91" s="42">
        <v>1286</v>
      </c>
      <c r="M91" s="42">
        <v>1205</v>
      </c>
      <c r="N91" s="42">
        <v>507</v>
      </c>
      <c r="O91" s="42">
        <v>2823</v>
      </c>
      <c r="P91" s="42">
        <v>546</v>
      </c>
      <c r="Q91" s="42">
        <v>1015</v>
      </c>
      <c r="R91" s="42">
        <v>625</v>
      </c>
      <c r="S91" s="42">
        <v>2598</v>
      </c>
      <c r="T91" s="44">
        <v>13.9</v>
      </c>
      <c r="U91" s="44">
        <v>20.8</v>
      </c>
      <c r="V91" s="44">
        <v>16.2</v>
      </c>
      <c r="W91" s="44">
        <v>12.3</v>
      </c>
      <c r="X91" s="44">
        <v>17.3</v>
      </c>
      <c r="Y91" s="44">
        <v>16.8</v>
      </c>
      <c r="Z91" s="44">
        <v>20</v>
      </c>
      <c r="AA91" s="44">
        <v>15.6</v>
      </c>
      <c r="AB91" s="44">
        <v>13.1</v>
      </c>
    </row>
    <row r="92" spans="1:28" ht="15" customHeight="1" x14ac:dyDescent="0.25">
      <c r="A92" s="41" t="s">
        <v>172</v>
      </c>
      <c r="B92" s="42" t="s">
        <v>28</v>
      </c>
      <c r="C92" s="42" t="s">
        <v>28</v>
      </c>
      <c r="D92" s="42" t="s">
        <v>28</v>
      </c>
      <c r="E92" s="42" t="s">
        <v>28</v>
      </c>
      <c r="F92" s="42">
        <v>6</v>
      </c>
      <c r="G92" s="42" t="s">
        <v>28</v>
      </c>
      <c r="H92" s="42" t="s">
        <v>28</v>
      </c>
      <c r="I92" s="42" t="s">
        <v>28</v>
      </c>
      <c r="J92" s="42" t="s">
        <v>28</v>
      </c>
      <c r="K92" s="42" t="s">
        <v>28</v>
      </c>
      <c r="L92" s="42" t="s">
        <v>28</v>
      </c>
      <c r="M92" s="42" t="s">
        <v>28</v>
      </c>
      <c r="N92" s="42" t="s">
        <v>28</v>
      </c>
      <c r="O92" s="42">
        <v>377</v>
      </c>
      <c r="P92" s="42" t="s">
        <v>28</v>
      </c>
      <c r="Q92" s="42" t="s">
        <v>28</v>
      </c>
      <c r="R92" s="42" t="s">
        <v>28</v>
      </c>
      <c r="S92" s="42" t="s">
        <v>28</v>
      </c>
      <c r="T92" s="44" t="s">
        <v>28</v>
      </c>
      <c r="U92" s="44" t="s">
        <v>28</v>
      </c>
      <c r="V92" s="44" t="s">
        <v>28</v>
      </c>
      <c r="W92" s="44" t="s">
        <v>28</v>
      </c>
      <c r="X92" s="44">
        <v>16.8</v>
      </c>
      <c r="Y92" s="44" t="s">
        <v>28</v>
      </c>
      <c r="Z92" s="44" t="s">
        <v>28</v>
      </c>
      <c r="AA92" s="44" t="s">
        <v>28</v>
      </c>
      <c r="AB92" s="44" t="s">
        <v>28</v>
      </c>
    </row>
    <row r="93" spans="1:28" ht="15" customHeight="1" x14ac:dyDescent="0.25">
      <c r="A93" s="35" t="s">
        <v>173</v>
      </c>
      <c r="B93" s="42" t="s">
        <v>28</v>
      </c>
      <c r="C93" s="42" t="s">
        <v>28</v>
      </c>
      <c r="D93" s="42" t="s">
        <v>28</v>
      </c>
      <c r="E93" s="42" t="s">
        <v>28</v>
      </c>
      <c r="F93" s="42" t="s">
        <v>28</v>
      </c>
      <c r="G93" s="42" t="s">
        <v>28</v>
      </c>
      <c r="H93" s="42" t="s">
        <v>28</v>
      </c>
      <c r="I93" s="42" t="s">
        <v>28</v>
      </c>
      <c r="J93" s="42" t="s">
        <v>28</v>
      </c>
      <c r="K93" s="42" t="s">
        <v>28</v>
      </c>
      <c r="L93" s="42" t="s">
        <v>28</v>
      </c>
      <c r="M93" s="42" t="s">
        <v>28</v>
      </c>
      <c r="N93" s="42" t="s">
        <v>28</v>
      </c>
      <c r="O93" s="42" t="s">
        <v>28</v>
      </c>
      <c r="P93" s="42" t="s">
        <v>28</v>
      </c>
      <c r="Q93" s="42" t="s">
        <v>28</v>
      </c>
      <c r="R93" s="42" t="s">
        <v>28</v>
      </c>
      <c r="S93" s="42" t="s">
        <v>28</v>
      </c>
      <c r="T93" s="44" t="s">
        <v>28</v>
      </c>
      <c r="U93" s="44" t="s">
        <v>28</v>
      </c>
      <c r="V93" s="44" t="s">
        <v>28</v>
      </c>
      <c r="W93" s="44" t="s">
        <v>28</v>
      </c>
      <c r="X93" s="44" t="s">
        <v>28</v>
      </c>
      <c r="Y93" s="44" t="s">
        <v>28</v>
      </c>
      <c r="Z93" s="44" t="s">
        <v>28</v>
      </c>
      <c r="AA93" s="44" t="s">
        <v>28</v>
      </c>
      <c r="AB93" s="44" t="s">
        <v>28</v>
      </c>
    </row>
    <row r="94" spans="1:28" ht="33.950000000000003" customHeight="1" x14ac:dyDescent="0.25">
      <c r="A94" s="40" t="s">
        <v>174</v>
      </c>
      <c r="B94" s="45" t="s">
        <v>16</v>
      </c>
      <c r="C94" s="45" t="s">
        <v>16</v>
      </c>
      <c r="D94" s="45" t="s">
        <v>16</v>
      </c>
      <c r="E94" s="45" t="s">
        <v>16</v>
      </c>
      <c r="F94" s="45" t="s">
        <v>16</v>
      </c>
      <c r="G94" s="45" t="s">
        <v>16</v>
      </c>
      <c r="H94" s="45" t="s">
        <v>16</v>
      </c>
      <c r="I94" s="45" t="s">
        <v>16</v>
      </c>
      <c r="J94" s="45" t="s">
        <v>16</v>
      </c>
      <c r="K94" s="45" t="s">
        <v>16</v>
      </c>
      <c r="L94" s="45" t="s">
        <v>16</v>
      </c>
      <c r="M94" s="45" t="s">
        <v>16</v>
      </c>
      <c r="N94" s="45" t="s">
        <v>16</v>
      </c>
      <c r="O94" s="45" t="s">
        <v>16</v>
      </c>
      <c r="P94" s="45" t="s">
        <v>16</v>
      </c>
      <c r="Q94" s="45" t="s">
        <v>16</v>
      </c>
      <c r="R94" s="45" t="s">
        <v>16</v>
      </c>
      <c r="S94" s="45" t="s">
        <v>16</v>
      </c>
      <c r="T94" s="47" t="s">
        <v>16</v>
      </c>
      <c r="U94" s="47" t="s">
        <v>16</v>
      </c>
      <c r="V94" s="47" t="s">
        <v>16</v>
      </c>
      <c r="W94" s="47" t="s">
        <v>16</v>
      </c>
      <c r="X94" s="47" t="s">
        <v>16</v>
      </c>
      <c r="Y94" s="47" t="s">
        <v>16</v>
      </c>
      <c r="Z94" s="47" t="s">
        <v>16</v>
      </c>
      <c r="AA94" s="47" t="s">
        <v>16</v>
      </c>
      <c r="AB94" s="47" t="s">
        <v>16</v>
      </c>
    </row>
    <row r="95" spans="1:28" ht="15" customHeight="1" x14ac:dyDescent="0.25">
      <c r="A95" s="35" t="s">
        <v>170</v>
      </c>
      <c r="B95" s="42">
        <v>42</v>
      </c>
      <c r="C95" s="42">
        <v>141</v>
      </c>
      <c r="D95" s="42">
        <v>153</v>
      </c>
      <c r="E95" s="42">
        <v>69</v>
      </c>
      <c r="F95" s="42">
        <v>236</v>
      </c>
      <c r="G95" s="42">
        <v>62</v>
      </c>
      <c r="H95" s="42">
        <v>152</v>
      </c>
      <c r="I95" s="42">
        <v>60</v>
      </c>
      <c r="J95" s="42">
        <v>148</v>
      </c>
      <c r="K95" s="42">
        <v>3605</v>
      </c>
      <c r="L95" s="42">
        <v>9719</v>
      </c>
      <c r="M95" s="42">
        <v>11268</v>
      </c>
      <c r="N95" s="42">
        <v>5532</v>
      </c>
      <c r="O95" s="42">
        <v>14810</v>
      </c>
      <c r="P95" s="42">
        <v>4255</v>
      </c>
      <c r="Q95" s="42">
        <v>9583</v>
      </c>
      <c r="R95" s="42">
        <v>4321</v>
      </c>
      <c r="S95" s="42">
        <v>11055</v>
      </c>
      <c r="T95" s="44">
        <v>11.6</v>
      </c>
      <c r="U95" s="44">
        <v>14.5</v>
      </c>
      <c r="V95" s="44">
        <v>13.6</v>
      </c>
      <c r="W95" s="44">
        <v>12.4</v>
      </c>
      <c r="X95" s="44">
        <v>15.9</v>
      </c>
      <c r="Y95" s="44">
        <v>14.5</v>
      </c>
      <c r="Z95" s="44">
        <v>15.9</v>
      </c>
      <c r="AA95" s="44">
        <v>13.8</v>
      </c>
      <c r="AB95" s="44">
        <v>13.3</v>
      </c>
    </row>
    <row r="96" spans="1:28" ht="15" customHeight="1" x14ac:dyDescent="0.25">
      <c r="A96" s="41" t="s">
        <v>171</v>
      </c>
      <c r="B96" s="42">
        <v>6</v>
      </c>
      <c r="C96" s="42">
        <v>23</v>
      </c>
      <c r="D96" s="42">
        <v>15</v>
      </c>
      <c r="E96" s="42">
        <v>5</v>
      </c>
      <c r="F96" s="42">
        <v>38</v>
      </c>
      <c r="G96" s="42">
        <v>6</v>
      </c>
      <c r="H96" s="42">
        <v>18</v>
      </c>
      <c r="I96" s="42">
        <v>7</v>
      </c>
      <c r="J96" s="42">
        <v>26</v>
      </c>
      <c r="K96" s="42">
        <v>429</v>
      </c>
      <c r="L96" s="42">
        <v>965</v>
      </c>
      <c r="M96" s="42">
        <v>917</v>
      </c>
      <c r="N96" s="42">
        <v>357</v>
      </c>
      <c r="O96" s="42">
        <v>2076</v>
      </c>
      <c r="P96" s="42">
        <v>384</v>
      </c>
      <c r="Q96" s="42">
        <v>773</v>
      </c>
      <c r="R96" s="42">
        <v>394</v>
      </c>
      <c r="S96" s="42">
        <v>1867</v>
      </c>
      <c r="T96" s="44">
        <v>13.1</v>
      </c>
      <c r="U96" s="44">
        <v>23.5</v>
      </c>
      <c r="V96" s="44">
        <v>16.7</v>
      </c>
      <c r="W96" s="44">
        <v>13.9</v>
      </c>
      <c r="X96" s="44">
        <v>18.5</v>
      </c>
      <c r="Y96" s="44">
        <v>14.5</v>
      </c>
      <c r="Z96" s="44">
        <v>22.7</v>
      </c>
      <c r="AA96" s="44">
        <v>16.7</v>
      </c>
      <c r="AB96" s="44">
        <v>13.7</v>
      </c>
    </row>
    <row r="97" spans="1:28" ht="15" customHeight="1" x14ac:dyDescent="0.25">
      <c r="A97" s="41" t="s">
        <v>172</v>
      </c>
      <c r="B97" s="42" t="s">
        <v>28</v>
      </c>
      <c r="C97" s="42" t="s">
        <v>28</v>
      </c>
      <c r="D97" s="42" t="s">
        <v>28</v>
      </c>
      <c r="E97" s="42" t="s">
        <v>28</v>
      </c>
      <c r="F97" s="42">
        <v>3</v>
      </c>
      <c r="G97" s="42" t="s">
        <v>28</v>
      </c>
      <c r="H97" s="42" t="s">
        <v>28</v>
      </c>
      <c r="I97" s="42" t="s">
        <v>28</v>
      </c>
      <c r="J97" s="42" t="s">
        <v>28</v>
      </c>
      <c r="K97" s="42" t="s">
        <v>28</v>
      </c>
      <c r="L97" s="42" t="s">
        <v>28</v>
      </c>
      <c r="M97" s="42" t="s">
        <v>28</v>
      </c>
      <c r="N97" s="42" t="s">
        <v>28</v>
      </c>
      <c r="O97" s="42">
        <v>215</v>
      </c>
      <c r="P97" s="42" t="s">
        <v>28</v>
      </c>
      <c r="Q97" s="42" t="s">
        <v>28</v>
      </c>
      <c r="R97" s="42" t="s">
        <v>28</v>
      </c>
      <c r="S97" s="42" t="s">
        <v>28</v>
      </c>
      <c r="T97" s="44" t="s">
        <v>28</v>
      </c>
      <c r="U97" s="44" t="s">
        <v>28</v>
      </c>
      <c r="V97" s="44" t="s">
        <v>28</v>
      </c>
      <c r="W97" s="44" t="s">
        <v>28</v>
      </c>
      <c r="X97" s="44">
        <v>11.8</v>
      </c>
      <c r="Y97" s="44" t="s">
        <v>28</v>
      </c>
      <c r="Z97" s="44" t="s">
        <v>28</v>
      </c>
      <c r="AA97" s="44" t="s">
        <v>28</v>
      </c>
      <c r="AB97" s="44" t="s">
        <v>28</v>
      </c>
    </row>
    <row r="98" spans="1:28" ht="15" customHeight="1" x14ac:dyDescent="0.25">
      <c r="A98" s="35" t="s">
        <v>173</v>
      </c>
      <c r="B98" s="42" t="s">
        <v>28</v>
      </c>
      <c r="C98" s="42" t="s">
        <v>28</v>
      </c>
      <c r="D98" s="42" t="s">
        <v>28</v>
      </c>
      <c r="E98" s="42" t="s">
        <v>28</v>
      </c>
      <c r="F98" s="42">
        <v>10</v>
      </c>
      <c r="G98" s="42" t="s">
        <v>28</v>
      </c>
      <c r="H98" s="42" t="s">
        <v>28</v>
      </c>
      <c r="I98" s="42" t="s">
        <v>28</v>
      </c>
      <c r="J98" s="42" t="s">
        <v>28</v>
      </c>
      <c r="K98" s="42" t="s">
        <v>28</v>
      </c>
      <c r="L98" s="42" t="s">
        <v>28</v>
      </c>
      <c r="M98" s="42" t="s">
        <v>28</v>
      </c>
      <c r="N98" s="42" t="s">
        <v>28</v>
      </c>
      <c r="O98" s="42">
        <v>507</v>
      </c>
      <c r="P98" s="42" t="s">
        <v>28</v>
      </c>
      <c r="Q98" s="42" t="s">
        <v>28</v>
      </c>
      <c r="R98" s="42" t="s">
        <v>28</v>
      </c>
      <c r="S98" s="42" t="s">
        <v>28</v>
      </c>
      <c r="T98" s="44" t="s">
        <v>28</v>
      </c>
      <c r="U98" s="44" t="s">
        <v>28</v>
      </c>
      <c r="V98" s="44" t="s">
        <v>28</v>
      </c>
      <c r="W98" s="44" t="s">
        <v>28</v>
      </c>
      <c r="X98" s="44">
        <v>19.8</v>
      </c>
      <c r="Y98" s="44" t="s">
        <v>28</v>
      </c>
      <c r="Z98" s="44" t="s">
        <v>28</v>
      </c>
      <c r="AA98" s="44" t="s">
        <v>28</v>
      </c>
      <c r="AB98" s="44" t="s">
        <v>28</v>
      </c>
    </row>
    <row r="99" spans="1:28" ht="24" customHeight="1" x14ac:dyDescent="0.25">
      <c r="A99" s="40" t="s">
        <v>175</v>
      </c>
      <c r="B99" s="45" t="s">
        <v>16</v>
      </c>
      <c r="C99" s="45" t="s">
        <v>16</v>
      </c>
      <c r="D99" s="45" t="s">
        <v>16</v>
      </c>
      <c r="E99" s="45" t="s">
        <v>16</v>
      </c>
      <c r="F99" s="45" t="s">
        <v>16</v>
      </c>
      <c r="G99" s="45" t="s">
        <v>16</v>
      </c>
      <c r="H99" s="45" t="s">
        <v>16</v>
      </c>
      <c r="I99" s="45" t="s">
        <v>16</v>
      </c>
      <c r="J99" s="45" t="s">
        <v>16</v>
      </c>
      <c r="K99" s="45" t="s">
        <v>16</v>
      </c>
      <c r="L99" s="45" t="s">
        <v>16</v>
      </c>
      <c r="M99" s="45" t="s">
        <v>16</v>
      </c>
      <c r="N99" s="45" t="s">
        <v>16</v>
      </c>
      <c r="O99" s="45" t="s">
        <v>16</v>
      </c>
      <c r="P99" s="45" t="s">
        <v>16</v>
      </c>
      <c r="Q99" s="45" t="s">
        <v>16</v>
      </c>
      <c r="R99" s="45" t="s">
        <v>16</v>
      </c>
      <c r="S99" s="45" t="s">
        <v>16</v>
      </c>
      <c r="T99" s="47" t="s">
        <v>16</v>
      </c>
      <c r="U99" s="47" t="s">
        <v>16</v>
      </c>
      <c r="V99" s="47" t="s">
        <v>16</v>
      </c>
      <c r="W99" s="47" t="s">
        <v>16</v>
      </c>
      <c r="X99" s="47" t="s">
        <v>16</v>
      </c>
      <c r="Y99" s="47" t="s">
        <v>16</v>
      </c>
      <c r="Z99" s="47" t="s">
        <v>16</v>
      </c>
      <c r="AA99" s="47" t="s">
        <v>16</v>
      </c>
      <c r="AB99" s="47" t="s">
        <v>16</v>
      </c>
    </row>
    <row r="100" spans="1:28" ht="15" customHeight="1" x14ac:dyDescent="0.25">
      <c r="A100" s="35" t="s">
        <v>133</v>
      </c>
      <c r="B100" s="42">
        <v>29</v>
      </c>
      <c r="C100" s="42">
        <v>102</v>
      </c>
      <c r="D100" s="42">
        <v>104</v>
      </c>
      <c r="E100" s="42">
        <v>52</v>
      </c>
      <c r="F100" s="42">
        <v>169</v>
      </c>
      <c r="G100" s="42">
        <v>50</v>
      </c>
      <c r="H100" s="42">
        <v>120</v>
      </c>
      <c r="I100" s="42">
        <v>41</v>
      </c>
      <c r="J100" s="42">
        <v>110</v>
      </c>
      <c r="K100" s="42">
        <v>2676</v>
      </c>
      <c r="L100" s="42">
        <v>6767</v>
      </c>
      <c r="M100" s="42">
        <v>8124</v>
      </c>
      <c r="N100" s="42">
        <v>4237</v>
      </c>
      <c r="O100" s="42">
        <v>10769</v>
      </c>
      <c r="P100" s="42">
        <v>3293</v>
      </c>
      <c r="Q100" s="42">
        <v>7489</v>
      </c>
      <c r="R100" s="42">
        <v>2972</v>
      </c>
      <c r="S100" s="42">
        <v>8157</v>
      </c>
      <c r="T100" s="44">
        <v>10.7</v>
      </c>
      <c r="U100" s="44">
        <v>15.1</v>
      </c>
      <c r="V100" s="44">
        <v>12.8</v>
      </c>
      <c r="W100" s="44">
        <v>12.4</v>
      </c>
      <c r="X100" s="44">
        <v>15.7</v>
      </c>
      <c r="Y100" s="44">
        <v>15.2</v>
      </c>
      <c r="Z100" s="44">
        <v>16.100000000000001</v>
      </c>
      <c r="AA100" s="44">
        <v>13.8</v>
      </c>
      <c r="AB100" s="44">
        <v>13.5</v>
      </c>
    </row>
    <row r="101" spans="1:28" ht="15" customHeight="1" x14ac:dyDescent="0.25">
      <c r="A101" s="41" t="s">
        <v>176</v>
      </c>
      <c r="B101" s="42">
        <v>13</v>
      </c>
      <c r="C101" s="42">
        <v>34</v>
      </c>
      <c r="D101" s="42">
        <v>47</v>
      </c>
      <c r="E101" s="42">
        <v>15</v>
      </c>
      <c r="F101" s="42">
        <v>54</v>
      </c>
      <c r="G101" s="42">
        <v>14</v>
      </c>
      <c r="H101" s="42">
        <v>28</v>
      </c>
      <c r="I101" s="42">
        <v>15</v>
      </c>
      <c r="J101" s="42">
        <v>30</v>
      </c>
      <c r="K101" s="42">
        <v>916</v>
      </c>
      <c r="L101" s="42">
        <v>2389</v>
      </c>
      <c r="M101" s="42">
        <v>2890</v>
      </c>
      <c r="N101" s="42">
        <v>1317</v>
      </c>
      <c r="O101" s="42">
        <v>3711</v>
      </c>
      <c r="P101" s="42">
        <v>1014</v>
      </c>
      <c r="Q101" s="42">
        <v>1777</v>
      </c>
      <c r="R101" s="42">
        <v>1096</v>
      </c>
      <c r="S101" s="42">
        <v>2646</v>
      </c>
      <c r="T101" s="44">
        <v>13.7</v>
      </c>
      <c r="U101" s="44">
        <v>14.2</v>
      </c>
      <c r="V101" s="44">
        <v>16.100000000000001</v>
      </c>
      <c r="W101" s="44">
        <v>11.5</v>
      </c>
      <c r="X101" s="44">
        <v>14.6</v>
      </c>
      <c r="Y101" s="44">
        <v>13.3</v>
      </c>
      <c r="Z101" s="44">
        <v>15.5</v>
      </c>
      <c r="AA101" s="44">
        <v>13.6</v>
      </c>
      <c r="AB101" s="44">
        <v>11.4</v>
      </c>
    </row>
    <row r="102" spans="1:28" ht="15" customHeight="1" x14ac:dyDescent="0.25">
      <c r="A102" s="41" t="s">
        <v>177</v>
      </c>
      <c r="B102" s="42" t="s">
        <v>28</v>
      </c>
      <c r="C102" s="42">
        <v>8</v>
      </c>
      <c r="D102" s="42">
        <v>9</v>
      </c>
      <c r="E102" s="42" t="s">
        <v>28</v>
      </c>
      <c r="F102" s="42">
        <v>19</v>
      </c>
      <c r="G102" s="42" t="s">
        <v>28</v>
      </c>
      <c r="H102" s="42">
        <v>10</v>
      </c>
      <c r="I102" s="42" t="s">
        <v>28</v>
      </c>
      <c r="J102" s="42">
        <v>13</v>
      </c>
      <c r="K102" s="42" t="s">
        <v>28</v>
      </c>
      <c r="L102" s="42">
        <v>611</v>
      </c>
      <c r="M102" s="42">
        <v>583</v>
      </c>
      <c r="N102" s="42" t="s">
        <v>28</v>
      </c>
      <c r="O102" s="42">
        <v>1007</v>
      </c>
      <c r="P102" s="42" t="s">
        <v>28</v>
      </c>
      <c r="Q102" s="42">
        <v>463</v>
      </c>
      <c r="R102" s="42" t="s">
        <v>28</v>
      </c>
      <c r="S102" s="42">
        <v>879</v>
      </c>
      <c r="T102" s="44" t="s">
        <v>28</v>
      </c>
      <c r="U102" s="44">
        <v>13.9</v>
      </c>
      <c r="V102" s="44">
        <v>16</v>
      </c>
      <c r="W102" s="44" t="s">
        <v>28</v>
      </c>
      <c r="X102" s="44">
        <v>18.5</v>
      </c>
      <c r="Y102" s="44" t="s">
        <v>28</v>
      </c>
      <c r="Z102" s="44">
        <v>21.9</v>
      </c>
      <c r="AA102" s="44" t="s">
        <v>28</v>
      </c>
      <c r="AB102" s="44">
        <v>14.3</v>
      </c>
    </row>
    <row r="103" spans="1:28" ht="15" customHeight="1" x14ac:dyDescent="0.25">
      <c r="A103" s="35" t="s">
        <v>178</v>
      </c>
      <c r="B103" s="42" t="s">
        <v>28</v>
      </c>
      <c r="C103" s="42">
        <v>11</v>
      </c>
      <c r="D103" s="42">
        <v>7</v>
      </c>
      <c r="E103" s="42" t="s">
        <v>28</v>
      </c>
      <c r="F103" s="42">
        <v>21</v>
      </c>
      <c r="G103" s="42" t="s">
        <v>28</v>
      </c>
      <c r="H103" s="42">
        <v>8</v>
      </c>
      <c r="I103" s="42" t="s">
        <v>28</v>
      </c>
      <c r="J103" s="42">
        <v>9</v>
      </c>
      <c r="K103" s="42" t="s">
        <v>28</v>
      </c>
      <c r="L103" s="42">
        <v>572</v>
      </c>
      <c r="M103" s="42">
        <v>369</v>
      </c>
      <c r="N103" s="42" t="s">
        <v>28</v>
      </c>
      <c r="O103" s="42">
        <v>1025</v>
      </c>
      <c r="P103" s="42" t="s">
        <v>28</v>
      </c>
      <c r="Q103" s="42">
        <v>397</v>
      </c>
      <c r="R103" s="42" t="s">
        <v>28</v>
      </c>
      <c r="S103" s="42">
        <v>574</v>
      </c>
      <c r="T103" s="44" t="s">
        <v>28</v>
      </c>
      <c r="U103" s="44">
        <v>18.600000000000001</v>
      </c>
      <c r="V103" s="44">
        <v>18.899999999999999</v>
      </c>
      <c r="W103" s="44" t="s">
        <v>28</v>
      </c>
      <c r="X103" s="44">
        <v>20.9</v>
      </c>
      <c r="Y103" s="44" t="s">
        <v>28</v>
      </c>
      <c r="Z103" s="44">
        <v>20.5</v>
      </c>
      <c r="AA103" s="44" t="s">
        <v>28</v>
      </c>
      <c r="AB103" s="44">
        <v>16.3</v>
      </c>
    </row>
    <row r="104" spans="1:28" ht="15" customHeight="1" x14ac:dyDescent="0.25">
      <c r="A104" s="41" t="s">
        <v>179</v>
      </c>
      <c r="B104" s="42" t="s">
        <v>28</v>
      </c>
      <c r="C104" s="42">
        <v>14</v>
      </c>
      <c r="D104" s="42">
        <v>8</v>
      </c>
      <c r="E104" s="42" t="s">
        <v>28</v>
      </c>
      <c r="F104" s="42">
        <v>23</v>
      </c>
      <c r="G104" s="42" t="s">
        <v>28</v>
      </c>
      <c r="H104" s="42">
        <v>6</v>
      </c>
      <c r="I104" s="42" t="s">
        <v>28</v>
      </c>
      <c r="J104" s="42">
        <v>13</v>
      </c>
      <c r="K104" s="42" t="s">
        <v>28</v>
      </c>
      <c r="L104" s="42">
        <v>701</v>
      </c>
      <c r="M104" s="42">
        <v>435</v>
      </c>
      <c r="N104" s="42" t="s">
        <v>28</v>
      </c>
      <c r="O104" s="42">
        <v>992</v>
      </c>
      <c r="P104" s="42" t="s">
        <v>28</v>
      </c>
      <c r="Q104" s="42">
        <v>316</v>
      </c>
      <c r="R104" s="42" t="s">
        <v>28</v>
      </c>
      <c r="S104" s="42">
        <v>761</v>
      </c>
      <c r="T104" s="44" t="s">
        <v>28</v>
      </c>
      <c r="U104" s="44">
        <v>20.3</v>
      </c>
      <c r="V104" s="44">
        <v>17.399999999999999</v>
      </c>
      <c r="W104" s="44" t="s">
        <v>28</v>
      </c>
      <c r="X104" s="44">
        <v>23.6</v>
      </c>
      <c r="Y104" s="44" t="s">
        <v>28</v>
      </c>
      <c r="Z104" s="44">
        <v>20.399999999999999</v>
      </c>
      <c r="AA104" s="44" t="s">
        <v>28</v>
      </c>
      <c r="AB104" s="44">
        <v>17.600000000000001</v>
      </c>
    </row>
    <row r="105" spans="1:28" ht="15" customHeight="1" x14ac:dyDescent="0.25">
      <c r="A105" s="41" t="s">
        <v>180</v>
      </c>
      <c r="B105" s="36" t="s">
        <v>28</v>
      </c>
      <c r="C105" s="36" t="s">
        <v>28</v>
      </c>
      <c r="D105" s="36" t="s">
        <v>28</v>
      </c>
      <c r="E105" s="36" t="s">
        <v>28</v>
      </c>
      <c r="F105" s="36" t="s">
        <v>28</v>
      </c>
      <c r="G105" s="36" t="s">
        <v>28</v>
      </c>
      <c r="H105" s="36" t="s">
        <v>28</v>
      </c>
      <c r="I105" s="36" t="s">
        <v>28</v>
      </c>
      <c r="J105" s="36" t="s">
        <v>28</v>
      </c>
      <c r="K105" s="36" t="s">
        <v>28</v>
      </c>
      <c r="L105" s="36" t="s">
        <v>28</v>
      </c>
      <c r="M105" s="36" t="s">
        <v>28</v>
      </c>
      <c r="N105" s="36" t="s">
        <v>28</v>
      </c>
      <c r="O105" s="36" t="s">
        <v>28</v>
      </c>
      <c r="P105" s="36" t="s">
        <v>28</v>
      </c>
      <c r="Q105" s="36" t="s">
        <v>28</v>
      </c>
      <c r="R105" s="36" t="s">
        <v>28</v>
      </c>
      <c r="S105" s="36" t="s">
        <v>28</v>
      </c>
      <c r="T105" s="38" t="s">
        <v>28</v>
      </c>
      <c r="U105" s="38" t="s">
        <v>28</v>
      </c>
      <c r="V105" s="38" t="s">
        <v>28</v>
      </c>
      <c r="W105" s="38" t="s">
        <v>28</v>
      </c>
      <c r="X105" s="38" t="s">
        <v>28</v>
      </c>
      <c r="Y105" s="38" t="s">
        <v>28</v>
      </c>
      <c r="Z105" s="38" t="s">
        <v>28</v>
      </c>
      <c r="AA105" s="38" t="s">
        <v>28</v>
      </c>
      <c r="AB105" s="38" t="s">
        <v>28</v>
      </c>
    </row>
    <row r="106" spans="1:28" ht="24" customHeight="1" x14ac:dyDescent="0.25">
      <c r="A106" s="40" t="s">
        <v>181</v>
      </c>
      <c r="B106" s="45" t="s">
        <v>16</v>
      </c>
      <c r="C106" s="45" t="s">
        <v>16</v>
      </c>
      <c r="D106" s="45" t="s">
        <v>16</v>
      </c>
      <c r="E106" s="45" t="s">
        <v>16</v>
      </c>
      <c r="F106" s="45" t="s">
        <v>16</v>
      </c>
      <c r="G106" s="45" t="s">
        <v>16</v>
      </c>
      <c r="H106" s="45" t="s">
        <v>16</v>
      </c>
      <c r="I106" s="45" t="s">
        <v>16</v>
      </c>
      <c r="J106" s="45" t="s">
        <v>16</v>
      </c>
      <c r="K106" s="45" t="s">
        <v>16</v>
      </c>
      <c r="L106" s="45" t="s">
        <v>16</v>
      </c>
      <c r="M106" s="45" t="s">
        <v>16</v>
      </c>
      <c r="N106" s="45" t="s">
        <v>16</v>
      </c>
      <c r="O106" s="45" t="s">
        <v>16</v>
      </c>
      <c r="P106" s="45" t="s">
        <v>16</v>
      </c>
      <c r="Q106" s="45" t="s">
        <v>16</v>
      </c>
      <c r="R106" s="45" t="s">
        <v>16</v>
      </c>
      <c r="S106" s="45" t="s">
        <v>16</v>
      </c>
      <c r="T106" s="47" t="s">
        <v>16</v>
      </c>
      <c r="U106" s="47" t="s">
        <v>16</v>
      </c>
      <c r="V106" s="47" t="s">
        <v>16</v>
      </c>
      <c r="W106" s="47" t="s">
        <v>16</v>
      </c>
      <c r="X106" s="47" t="s">
        <v>16</v>
      </c>
      <c r="Y106" s="47" t="s">
        <v>16</v>
      </c>
      <c r="Z106" s="47" t="s">
        <v>16</v>
      </c>
      <c r="AA106" s="47" t="s">
        <v>16</v>
      </c>
      <c r="AB106" s="47" t="s">
        <v>16</v>
      </c>
    </row>
    <row r="107" spans="1:28" ht="15" customHeight="1" x14ac:dyDescent="0.25">
      <c r="A107" s="35" t="s">
        <v>182</v>
      </c>
      <c r="B107" s="42">
        <v>24</v>
      </c>
      <c r="C107" s="42">
        <v>80</v>
      </c>
      <c r="D107" s="42">
        <v>88</v>
      </c>
      <c r="E107" s="42">
        <v>35</v>
      </c>
      <c r="F107" s="42">
        <v>148</v>
      </c>
      <c r="G107" s="42">
        <v>40</v>
      </c>
      <c r="H107" s="42">
        <v>87</v>
      </c>
      <c r="I107" s="42">
        <v>31</v>
      </c>
      <c r="J107" s="42">
        <v>62</v>
      </c>
      <c r="K107" s="42">
        <v>1954</v>
      </c>
      <c r="L107" s="42">
        <v>5608</v>
      </c>
      <c r="M107" s="42">
        <v>6209</v>
      </c>
      <c r="N107" s="42">
        <v>2716</v>
      </c>
      <c r="O107" s="42">
        <v>8399</v>
      </c>
      <c r="P107" s="42">
        <v>2639</v>
      </c>
      <c r="Q107" s="42">
        <v>5178</v>
      </c>
      <c r="R107" s="42">
        <v>2288</v>
      </c>
      <c r="S107" s="42">
        <v>4617</v>
      </c>
      <c r="T107" s="44">
        <v>12.3</v>
      </c>
      <c r="U107" s="44">
        <v>14.3</v>
      </c>
      <c r="V107" s="44">
        <v>14.2</v>
      </c>
      <c r="W107" s="44">
        <v>12.7</v>
      </c>
      <c r="X107" s="44">
        <v>17.7</v>
      </c>
      <c r="Y107" s="44">
        <v>15.1</v>
      </c>
      <c r="Z107" s="44">
        <v>16.899999999999999</v>
      </c>
      <c r="AA107" s="44">
        <v>13.7</v>
      </c>
      <c r="AB107" s="44">
        <v>13.5</v>
      </c>
    </row>
    <row r="108" spans="1:28" ht="15" customHeight="1" x14ac:dyDescent="0.25">
      <c r="A108" s="41" t="s">
        <v>183</v>
      </c>
      <c r="B108" s="42">
        <v>9</v>
      </c>
      <c r="C108" s="42">
        <v>47</v>
      </c>
      <c r="D108" s="42">
        <v>42</v>
      </c>
      <c r="E108" s="42">
        <v>13</v>
      </c>
      <c r="F108" s="42">
        <v>83</v>
      </c>
      <c r="G108" s="42">
        <v>17</v>
      </c>
      <c r="H108" s="42">
        <v>40</v>
      </c>
      <c r="I108" s="42">
        <v>18</v>
      </c>
      <c r="J108" s="42">
        <v>53</v>
      </c>
      <c r="K108" s="42">
        <v>615</v>
      </c>
      <c r="L108" s="42">
        <v>2959</v>
      </c>
      <c r="M108" s="42">
        <v>2899</v>
      </c>
      <c r="N108" s="42">
        <v>1037</v>
      </c>
      <c r="O108" s="42">
        <v>4713</v>
      </c>
      <c r="P108" s="42">
        <v>1002</v>
      </c>
      <c r="Q108" s="42">
        <v>2259</v>
      </c>
      <c r="R108" s="42">
        <v>1164</v>
      </c>
      <c r="S108" s="42">
        <v>3755</v>
      </c>
      <c r="T108" s="44">
        <v>14.9</v>
      </c>
      <c r="U108" s="44">
        <v>16</v>
      </c>
      <c r="V108" s="44">
        <v>14.4</v>
      </c>
      <c r="W108" s="44">
        <v>12.2</v>
      </c>
      <c r="X108" s="44">
        <v>17.5</v>
      </c>
      <c r="Y108" s="44">
        <v>17</v>
      </c>
      <c r="Z108" s="44">
        <v>17.899999999999999</v>
      </c>
      <c r="AA108" s="44">
        <v>15.8</v>
      </c>
      <c r="AB108" s="44">
        <v>14.2</v>
      </c>
    </row>
    <row r="109" spans="1:28" ht="15" customHeight="1" x14ac:dyDescent="0.25">
      <c r="A109" s="41" t="s">
        <v>184</v>
      </c>
      <c r="B109" s="42" t="s">
        <v>28</v>
      </c>
      <c r="C109" s="42">
        <v>13</v>
      </c>
      <c r="D109" s="42">
        <v>18</v>
      </c>
      <c r="E109" s="42">
        <v>11</v>
      </c>
      <c r="F109" s="42">
        <v>23</v>
      </c>
      <c r="G109" s="42">
        <v>4</v>
      </c>
      <c r="H109" s="42">
        <v>13</v>
      </c>
      <c r="I109" s="42" t="s">
        <v>28</v>
      </c>
      <c r="J109" s="42">
        <v>28</v>
      </c>
      <c r="K109" s="42" t="s">
        <v>28</v>
      </c>
      <c r="L109" s="42">
        <v>632</v>
      </c>
      <c r="M109" s="42">
        <v>1146</v>
      </c>
      <c r="N109" s="42">
        <v>521</v>
      </c>
      <c r="O109" s="42">
        <v>1799</v>
      </c>
      <c r="P109" s="42" t="s">
        <v>28</v>
      </c>
      <c r="Q109" s="42">
        <v>844</v>
      </c>
      <c r="R109" s="42" t="s">
        <v>28</v>
      </c>
      <c r="S109" s="42">
        <v>2391</v>
      </c>
      <c r="T109" s="44" t="s">
        <v>28</v>
      </c>
      <c r="U109" s="44">
        <v>20.3</v>
      </c>
      <c r="V109" s="44">
        <v>15.6</v>
      </c>
      <c r="W109" s="44">
        <v>21</v>
      </c>
      <c r="X109" s="44">
        <v>12.8</v>
      </c>
      <c r="Y109" s="44" t="s">
        <v>28</v>
      </c>
      <c r="Z109" s="44">
        <v>15.1</v>
      </c>
      <c r="AA109" s="44">
        <v>14.5</v>
      </c>
      <c r="AB109" s="44">
        <v>11.5</v>
      </c>
    </row>
    <row r="110" spans="1:28" ht="15" customHeight="1" x14ac:dyDescent="0.25">
      <c r="A110" s="35" t="s">
        <v>185</v>
      </c>
      <c r="B110" s="42">
        <v>11</v>
      </c>
      <c r="C110" s="42">
        <v>6</v>
      </c>
      <c r="D110" s="42">
        <v>11</v>
      </c>
      <c r="E110" s="42">
        <v>7</v>
      </c>
      <c r="F110" s="42">
        <v>8</v>
      </c>
      <c r="G110" s="42">
        <v>3</v>
      </c>
      <c r="H110" s="42">
        <v>6</v>
      </c>
      <c r="I110" s="42">
        <v>2</v>
      </c>
      <c r="J110" s="42">
        <v>17</v>
      </c>
      <c r="K110" s="42">
        <v>889</v>
      </c>
      <c r="L110" s="42">
        <v>645</v>
      </c>
      <c r="M110" s="42">
        <v>846</v>
      </c>
      <c r="N110" s="42">
        <v>504</v>
      </c>
      <c r="O110" s="42">
        <v>639</v>
      </c>
      <c r="P110" s="42">
        <v>270</v>
      </c>
      <c r="Q110" s="42">
        <v>456</v>
      </c>
      <c r="R110" s="42">
        <v>196</v>
      </c>
      <c r="S110" s="42">
        <v>1120</v>
      </c>
      <c r="T110" s="44">
        <v>12</v>
      </c>
      <c r="U110" s="44">
        <v>9.8000000000000007</v>
      </c>
      <c r="V110" s="44">
        <v>12.9</v>
      </c>
      <c r="W110" s="44">
        <v>14.7</v>
      </c>
      <c r="X110" s="44">
        <v>12.7</v>
      </c>
      <c r="Y110" s="44">
        <v>12.1</v>
      </c>
      <c r="Z110" s="44">
        <v>13.3</v>
      </c>
      <c r="AA110" s="44">
        <v>10</v>
      </c>
      <c r="AB110" s="44">
        <v>14.9</v>
      </c>
    </row>
    <row r="111" spans="1:28" ht="15" customHeight="1" x14ac:dyDescent="0.25">
      <c r="A111" s="41" t="s">
        <v>186</v>
      </c>
      <c r="B111" s="42">
        <v>2</v>
      </c>
      <c r="C111" s="42">
        <v>8</v>
      </c>
      <c r="D111" s="42">
        <v>7</v>
      </c>
      <c r="E111" s="42">
        <v>9</v>
      </c>
      <c r="F111" s="42">
        <v>16</v>
      </c>
      <c r="G111" s="42">
        <v>6</v>
      </c>
      <c r="H111" s="42">
        <v>21</v>
      </c>
      <c r="I111" s="42">
        <v>5</v>
      </c>
      <c r="J111" s="42">
        <v>6</v>
      </c>
      <c r="K111" s="42">
        <v>309</v>
      </c>
      <c r="L111" s="42">
        <v>645</v>
      </c>
      <c r="M111" s="42">
        <v>911</v>
      </c>
      <c r="N111" s="42">
        <v>1150</v>
      </c>
      <c r="O111" s="42">
        <v>1630</v>
      </c>
      <c r="P111" s="42">
        <v>526</v>
      </c>
      <c r="Q111" s="42">
        <v>1665</v>
      </c>
      <c r="R111" s="42">
        <v>469</v>
      </c>
      <c r="S111" s="42">
        <v>750</v>
      </c>
      <c r="T111" s="44" t="s">
        <v>28</v>
      </c>
      <c r="U111" s="44">
        <v>12.5</v>
      </c>
      <c r="V111" s="44">
        <v>7.5</v>
      </c>
      <c r="W111" s="44">
        <v>7.5</v>
      </c>
      <c r="X111" s="44">
        <v>9.6999999999999993</v>
      </c>
      <c r="Y111" s="44">
        <v>10.9</v>
      </c>
      <c r="Z111" s="44">
        <v>12.8</v>
      </c>
      <c r="AA111" s="44">
        <v>10.7</v>
      </c>
      <c r="AB111" s="44">
        <v>7.6</v>
      </c>
    </row>
    <row r="112" spans="1:28" ht="15" customHeight="1" x14ac:dyDescent="0.25">
      <c r="A112" s="41" t="s">
        <v>187</v>
      </c>
      <c r="B112" s="36" t="s">
        <v>28</v>
      </c>
      <c r="C112" s="36">
        <v>12</v>
      </c>
      <c r="D112" s="36" t="s">
        <v>28</v>
      </c>
      <c r="E112" s="36" t="s">
        <v>127</v>
      </c>
      <c r="F112" s="36" t="s">
        <v>28</v>
      </c>
      <c r="G112" s="36" t="s">
        <v>28</v>
      </c>
      <c r="H112" s="36" t="s">
        <v>28</v>
      </c>
      <c r="I112" s="36" t="s">
        <v>28</v>
      </c>
      <c r="J112" s="36">
        <v>6</v>
      </c>
      <c r="K112" s="36" t="s">
        <v>28</v>
      </c>
      <c r="L112" s="36">
        <v>419</v>
      </c>
      <c r="M112" s="36" t="s">
        <v>28</v>
      </c>
      <c r="N112" s="36" t="s">
        <v>127</v>
      </c>
      <c r="O112" s="36" t="s">
        <v>28</v>
      </c>
      <c r="P112" s="36" t="s">
        <v>28</v>
      </c>
      <c r="Q112" s="36" t="s">
        <v>28</v>
      </c>
      <c r="R112" s="36" t="s">
        <v>28</v>
      </c>
      <c r="S112" s="36">
        <v>272</v>
      </c>
      <c r="T112" s="38" t="s">
        <v>28</v>
      </c>
      <c r="U112" s="38">
        <v>27.7</v>
      </c>
      <c r="V112" s="38" t="s">
        <v>28</v>
      </c>
      <c r="W112" s="38" t="s">
        <v>127</v>
      </c>
      <c r="X112" s="38" t="s">
        <v>28</v>
      </c>
      <c r="Y112" s="38" t="s">
        <v>28</v>
      </c>
      <c r="Z112" s="38" t="s">
        <v>28</v>
      </c>
      <c r="AA112" s="38" t="s">
        <v>28</v>
      </c>
      <c r="AB112" s="38">
        <v>21.2</v>
      </c>
    </row>
    <row r="113" spans="1:28" ht="15" customHeight="1" x14ac:dyDescent="0.25">
      <c r="A113" s="41" t="s">
        <v>173</v>
      </c>
      <c r="B113" s="36" t="s">
        <v>28</v>
      </c>
      <c r="C113" s="36" t="s">
        <v>28</v>
      </c>
      <c r="D113" s="36" t="s">
        <v>28</v>
      </c>
      <c r="E113" s="36" t="s">
        <v>28</v>
      </c>
      <c r="F113" s="36" t="s">
        <v>28</v>
      </c>
      <c r="G113" s="36" t="s">
        <v>28</v>
      </c>
      <c r="H113" s="36" t="s">
        <v>28</v>
      </c>
      <c r="I113" s="36" t="s">
        <v>28</v>
      </c>
      <c r="J113" s="36" t="s">
        <v>28</v>
      </c>
      <c r="K113" s="36" t="s">
        <v>28</v>
      </c>
      <c r="L113" s="36" t="s">
        <v>28</v>
      </c>
      <c r="M113" s="36" t="s">
        <v>28</v>
      </c>
      <c r="N113" s="36" t="s">
        <v>28</v>
      </c>
      <c r="O113" s="36" t="s">
        <v>28</v>
      </c>
      <c r="P113" s="36" t="s">
        <v>28</v>
      </c>
      <c r="Q113" s="36" t="s">
        <v>28</v>
      </c>
      <c r="R113" s="36" t="s">
        <v>28</v>
      </c>
      <c r="S113" s="36" t="s">
        <v>28</v>
      </c>
      <c r="T113" s="38" t="s">
        <v>28</v>
      </c>
      <c r="U113" s="38" t="s">
        <v>28</v>
      </c>
      <c r="V113" s="38" t="s">
        <v>28</v>
      </c>
      <c r="W113" s="38" t="s">
        <v>28</v>
      </c>
      <c r="X113" s="38" t="s">
        <v>28</v>
      </c>
      <c r="Y113" s="38" t="s">
        <v>28</v>
      </c>
      <c r="Z113" s="38" t="s">
        <v>28</v>
      </c>
      <c r="AA113" s="38" t="s">
        <v>28</v>
      </c>
      <c r="AB113" s="38" t="s">
        <v>28</v>
      </c>
    </row>
    <row r="114" spans="1:28" ht="15" customHeight="1" x14ac:dyDescent="0.25">
      <c r="A114" s="41" t="s">
        <v>188</v>
      </c>
      <c r="B114" s="36" t="s">
        <v>28</v>
      </c>
      <c r="C114" s="36" t="s">
        <v>28</v>
      </c>
      <c r="D114" s="36" t="s">
        <v>28</v>
      </c>
      <c r="E114" s="36" t="s">
        <v>28</v>
      </c>
      <c r="F114" s="36" t="s">
        <v>28</v>
      </c>
      <c r="G114" s="36" t="s">
        <v>28</v>
      </c>
      <c r="H114" s="36" t="s">
        <v>28</v>
      </c>
      <c r="I114" s="36" t="s">
        <v>28</v>
      </c>
      <c r="J114" s="36" t="s">
        <v>28</v>
      </c>
      <c r="K114" s="36" t="s">
        <v>28</v>
      </c>
      <c r="L114" s="36" t="s">
        <v>28</v>
      </c>
      <c r="M114" s="36" t="s">
        <v>28</v>
      </c>
      <c r="N114" s="36" t="s">
        <v>28</v>
      </c>
      <c r="O114" s="36" t="s">
        <v>28</v>
      </c>
      <c r="P114" s="36" t="s">
        <v>28</v>
      </c>
      <c r="Q114" s="36" t="s">
        <v>28</v>
      </c>
      <c r="R114" s="36" t="s">
        <v>28</v>
      </c>
      <c r="S114" s="36" t="s">
        <v>28</v>
      </c>
      <c r="T114" s="38" t="s">
        <v>28</v>
      </c>
      <c r="U114" s="38" t="s">
        <v>28</v>
      </c>
      <c r="V114" s="38" t="s">
        <v>28</v>
      </c>
      <c r="W114" s="38" t="s">
        <v>28</v>
      </c>
      <c r="X114" s="38" t="s">
        <v>28</v>
      </c>
      <c r="Y114" s="38" t="s">
        <v>28</v>
      </c>
      <c r="Z114" s="38" t="s">
        <v>28</v>
      </c>
      <c r="AA114" s="38" t="s">
        <v>28</v>
      </c>
      <c r="AB114" s="38" t="s">
        <v>28</v>
      </c>
    </row>
    <row r="115" spans="1:28" ht="24" customHeight="1" x14ac:dyDescent="0.25">
      <c r="A115" s="40" t="s">
        <v>189</v>
      </c>
      <c r="B115" s="45" t="s">
        <v>16</v>
      </c>
      <c r="C115" s="45" t="s">
        <v>16</v>
      </c>
      <c r="D115" s="45" t="s">
        <v>16</v>
      </c>
      <c r="E115" s="45" t="s">
        <v>16</v>
      </c>
      <c r="F115" s="45" t="s">
        <v>16</v>
      </c>
      <c r="G115" s="45" t="s">
        <v>16</v>
      </c>
      <c r="H115" s="45" t="s">
        <v>16</v>
      </c>
      <c r="I115" s="45" t="s">
        <v>16</v>
      </c>
      <c r="J115" s="45" t="s">
        <v>16</v>
      </c>
      <c r="K115" s="45" t="s">
        <v>16</v>
      </c>
      <c r="L115" s="45" t="s">
        <v>16</v>
      </c>
      <c r="M115" s="45" t="s">
        <v>16</v>
      </c>
      <c r="N115" s="45" t="s">
        <v>16</v>
      </c>
      <c r="O115" s="45" t="s">
        <v>16</v>
      </c>
      <c r="P115" s="45" t="s">
        <v>16</v>
      </c>
      <c r="Q115" s="45" t="s">
        <v>16</v>
      </c>
      <c r="R115" s="45" t="s">
        <v>16</v>
      </c>
      <c r="S115" s="45" t="s">
        <v>16</v>
      </c>
      <c r="T115" s="47" t="s">
        <v>16</v>
      </c>
      <c r="U115" s="47" t="s">
        <v>16</v>
      </c>
      <c r="V115" s="47" t="s">
        <v>16</v>
      </c>
      <c r="W115" s="47" t="s">
        <v>16</v>
      </c>
      <c r="X115" s="47" t="s">
        <v>16</v>
      </c>
      <c r="Y115" s="47" t="s">
        <v>16</v>
      </c>
      <c r="Z115" s="47" t="s">
        <v>16</v>
      </c>
      <c r="AA115" s="47" t="s">
        <v>16</v>
      </c>
      <c r="AB115" s="47" t="s">
        <v>16</v>
      </c>
    </row>
    <row r="116" spans="1:28" ht="15" customHeight="1" x14ac:dyDescent="0.25">
      <c r="A116" s="41" t="s">
        <v>190</v>
      </c>
      <c r="B116" s="42">
        <v>3</v>
      </c>
      <c r="C116" s="42">
        <v>13</v>
      </c>
      <c r="D116" s="42">
        <v>16</v>
      </c>
      <c r="E116" s="42">
        <v>13</v>
      </c>
      <c r="F116" s="42">
        <v>44</v>
      </c>
      <c r="G116" s="42">
        <v>15</v>
      </c>
      <c r="H116" s="42">
        <v>37</v>
      </c>
      <c r="I116" s="42">
        <v>11</v>
      </c>
      <c r="J116" s="42">
        <v>19</v>
      </c>
      <c r="K116" s="42">
        <v>510</v>
      </c>
      <c r="L116" s="42">
        <v>1030</v>
      </c>
      <c r="M116" s="42">
        <v>1586</v>
      </c>
      <c r="N116" s="42">
        <v>1542</v>
      </c>
      <c r="O116" s="42">
        <v>3650</v>
      </c>
      <c r="P116" s="42">
        <v>1344</v>
      </c>
      <c r="Q116" s="42">
        <v>2810</v>
      </c>
      <c r="R116" s="42">
        <v>822</v>
      </c>
      <c r="S116" s="42">
        <v>1729</v>
      </c>
      <c r="T116" s="44">
        <v>6.6</v>
      </c>
      <c r="U116" s="44">
        <v>12.2</v>
      </c>
      <c r="V116" s="44">
        <v>9.9</v>
      </c>
      <c r="W116" s="44">
        <v>8.3000000000000007</v>
      </c>
      <c r="X116" s="44">
        <v>12</v>
      </c>
      <c r="Y116" s="44">
        <v>11.1</v>
      </c>
      <c r="Z116" s="44">
        <v>13</v>
      </c>
      <c r="AA116" s="44">
        <v>12.8</v>
      </c>
      <c r="AB116" s="44">
        <v>10.8</v>
      </c>
    </row>
    <row r="117" spans="1:28" ht="15" customHeight="1" x14ac:dyDescent="0.25">
      <c r="A117" s="35" t="s">
        <v>191</v>
      </c>
      <c r="B117" s="36">
        <v>24</v>
      </c>
      <c r="C117" s="36">
        <v>66</v>
      </c>
      <c r="D117" s="36">
        <v>81</v>
      </c>
      <c r="E117" s="36">
        <v>28</v>
      </c>
      <c r="F117" s="36">
        <v>84</v>
      </c>
      <c r="G117" s="36">
        <v>24</v>
      </c>
      <c r="H117" s="36">
        <v>40</v>
      </c>
      <c r="I117" s="36">
        <v>28</v>
      </c>
      <c r="J117" s="36">
        <v>47</v>
      </c>
      <c r="K117" s="36">
        <v>1755</v>
      </c>
      <c r="L117" s="36">
        <v>4105</v>
      </c>
      <c r="M117" s="36">
        <v>5293</v>
      </c>
      <c r="N117" s="36">
        <v>2120</v>
      </c>
      <c r="O117" s="36">
        <v>4367</v>
      </c>
      <c r="P117" s="36">
        <v>1352</v>
      </c>
      <c r="Q117" s="36">
        <v>1946</v>
      </c>
      <c r="R117" s="36">
        <v>1839</v>
      </c>
      <c r="S117" s="36">
        <v>2837</v>
      </c>
      <c r="T117" s="38">
        <v>13.4</v>
      </c>
      <c r="U117" s="38">
        <v>16.100000000000001</v>
      </c>
      <c r="V117" s="38">
        <v>15.3</v>
      </c>
      <c r="W117" s="38">
        <v>13.4</v>
      </c>
      <c r="X117" s="38">
        <v>19.3</v>
      </c>
      <c r="Y117" s="38">
        <v>17.399999999999999</v>
      </c>
      <c r="Z117" s="38">
        <v>20.6</v>
      </c>
      <c r="AA117" s="38">
        <v>15.3</v>
      </c>
      <c r="AB117" s="38">
        <v>16.399999999999999</v>
      </c>
    </row>
    <row r="118" spans="1:28" ht="15" customHeight="1" x14ac:dyDescent="0.25">
      <c r="A118" s="35" t="s">
        <v>192</v>
      </c>
      <c r="B118" s="42">
        <v>9</v>
      </c>
      <c r="C118" s="42">
        <v>55</v>
      </c>
      <c r="D118" s="42">
        <v>38</v>
      </c>
      <c r="E118" s="42">
        <v>18</v>
      </c>
      <c r="F118" s="42">
        <v>77</v>
      </c>
      <c r="G118" s="42">
        <v>15</v>
      </c>
      <c r="H118" s="42">
        <v>56</v>
      </c>
      <c r="I118" s="42">
        <v>15</v>
      </c>
      <c r="J118" s="42">
        <v>54</v>
      </c>
      <c r="K118" s="42">
        <v>655</v>
      </c>
      <c r="L118" s="42">
        <v>3056</v>
      </c>
      <c r="M118" s="42">
        <v>2840</v>
      </c>
      <c r="N118" s="42">
        <v>1083</v>
      </c>
      <c r="O118" s="42">
        <v>4659</v>
      </c>
      <c r="P118" s="42">
        <v>865</v>
      </c>
      <c r="Q118" s="42">
        <v>3051</v>
      </c>
      <c r="R118" s="42">
        <v>1161</v>
      </c>
      <c r="S118" s="42">
        <v>3935</v>
      </c>
      <c r="T118" s="44">
        <v>13.5</v>
      </c>
      <c r="U118" s="44">
        <v>18</v>
      </c>
      <c r="V118" s="44">
        <v>13.5</v>
      </c>
      <c r="W118" s="44">
        <v>16.399999999999999</v>
      </c>
      <c r="X118" s="44">
        <v>16.600000000000001</v>
      </c>
      <c r="Y118" s="44">
        <v>17.399999999999999</v>
      </c>
      <c r="Z118" s="44">
        <v>18.2</v>
      </c>
      <c r="AA118" s="44">
        <v>13</v>
      </c>
      <c r="AB118" s="44">
        <v>13.7</v>
      </c>
    </row>
    <row r="119" spans="1:28" ht="15" customHeight="1" x14ac:dyDescent="0.25">
      <c r="A119" s="41" t="s">
        <v>193</v>
      </c>
      <c r="B119" s="42" t="s">
        <v>28</v>
      </c>
      <c r="C119" s="42">
        <v>6</v>
      </c>
      <c r="D119" s="42">
        <v>3</v>
      </c>
      <c r="E119" s="42" t="s">
        <v>28</v>
      </c>
      <c r="F119" s="42">
        <v>16</v>
      </c>
      <c r="G119" s="42" t="s">
        <v>28</v>
      </c>
      <c r="H119" s="42">
        <v>12</v>
      </c>
      <c r="I119" s="42">
        <v>3</v>
      </c>
      <c r="J119" s="42">
        <v>15</v>
      </c>
      <c r="K119" s="42" t="s">
        <v>28</v>
      </c>
      <c r="L119" s="42">
        <v>591</v>
      </c>
      <c r="M119" s="42">
        <v>288</v>
      </c>
      <c r="N119" s="42" t="s">
        <v>28</v>
      </c>
      <c r="O119" s="42">
        <v>1046</v>
      </c>
      <c r="P119" s="42" t="s">
        <v>28</v>
      </c>
      <c r="Q119" s="42" t="s">
        <v>28</v>
      </c>
      <c r="R119" s="42">
        <v>167</v>
      </c>
      <c r="S119" s="42">
        <v>1015</v>
      </c>
      <c r="T119" s="44" t="s">
        <v>28</v>
      </c>
      <c r="U119" s="44">
        <v>9.9</v>
      </c>
      <c r="V119" s="44">
        <v>11.2</v>
      </c>
      <c r="W119" s="44" t="s">
        <v>28</v>
      </c>
      <c r="X119" s="44">
        <v>15.2</v>
      </c>
      <c r="Y119" s="44" t="s">
        <v>28</v>
      </c>
      <c r="Z119" s="44">
        <v>16.399999999999999</v>
      </c>
      <c r="AA119" s="44">
        <v>18.3</v>
      </c>
      <c r="AB119" s="44">
        <v>14.8</v>
      </c>
    </row>
    <row r="120" spans="1:28" ht="27.95" customHeight="1" x14ac:dyDescent="0.25">
      <c r="A120" s="41" t="s">
        <v>194</v>
      </c>
      <c r="B120" s="42" t="s">
        <v>28</v>
      </c>
      <c r="C120" s="42" t="s">
        <v>28</v>
      </c>
      <c r="D120" s="42" t="s">
        <v>28</v>
      </c>
      <c r="E120" s="42" t="s">
        <v>28</v>
      </c>
      <c r="F120" s="42">
        <v>5</v>
      </c>
      <c r="G120" s="42" t="s">
        <v>28</v>
      </c>
      <c r="H120" s="42" t="s">
        <v>28</v>
      </c>
      <c r="I120" s="42" t="s">
        <v>28</v>
      </c>
      <c r="J120" s="42">
        <v>4</v>
      </c>
      <c r="K120" s="42" t="s">
        <v>28</v>
      </c>
      <c r="L120" s="42" t="s">
        <v>28</v>
      </c>
      <c r="M120" s="42" t="s">
        <v>28</v>
      </c>
      <c r="N120" s="42" t="s">
        <v>28</v>
      </c>
      <c r="O120" s="42">
        <v>268</v>
      </c>
      <c r="P120" s="42" t="s">
        <v>28</v>
      </c>
      <c r="Q120" s="42" t="s">
        <v>28</v>
      </c>
      <c r="R120" s="42" t="s">
        <v>28</v>
      </c>
      <c r="S120" s="42">
        <v>428</v>
      </c>
      <c r="T120" s="44" t="s">
        <v>28</v>
      </c>
      <c r="U120" s="44" t="s">
        <v>28</v>
      </c>
      <c r="V120" s="44" t="s">
        <v>28</v>
      </c>
      <c r="W120" s="44" t="s">
        <v>28</v>
      </c>
      <c r="X120" s="44">
        <v>17.399999999999999</v>
      </c>
      <c r="Y120" s="44" t="s">
        <v>28</v>
      </c>
      <c r="Z120" s="44" t="s">
        <v>28</v>
      </c>
      <c r="AA120" s="44" t="s">
        <v>28</v>
      </c>
      <c r="AB120" s="44">
        <v>9.4</v>
      </c>
    </row>
    <row r="121" spans="1:28" ht="27.95" customHeight="1" x14ac:dyDescent="0.25">
      <c r="A121" s="41" t="s">
        <v>195</v>
      </c>
      <c r="B121" s="42">
        <v>12</v>
      </c>
      <c r="C121" s="42">
        <v>22</v>
      </c>
      <c r="D121" s="42">
        <v>30</v>
      </c>
      <c r="E121" s="42">
        <v>14</v>
      </c>
      <c r="F121" s="42">
        <v>47</v>
      </c>
      <c r="G121" s="42">
        <v>12</v>
      </c>
      <c r="H121" s="42">
        <v>23</v>
      </c>
      <c r="I121" s="42">
        <v>8</v>
      </c>
      <c r="J121" s="42">
        <v>29</v>
      </c>
      <c r="K121" s="42">
        <v>850</v>
      </c>
      <c r="L121" s="42">
        <v>1780</v>
      </c>
      <c r="M121" s="42">
        <v>2173</v>
      </c>
      <c r="N121" s="42">
        <v>1049</v>
      </c>
      <c r="O121" s="42">
        <v>2941</v>
      </c>
      <c r="P121" s="42">
        <v>986</v>
      </c>
      <c r="Q121" s="42">
        <v>1652</v>
      </c>
      <c r="R121" s="42">
        <v>677</v>
      </c>
      <c r="S121" s="42">
        <v>2572</v>
      </c>
      <c r="T121" s="44">
        <v>13.5</v>
      </c>
      <c r="U121" s="44">
        <v>12.5</v>
      </c>
      <c r="V121" s="44">
        <v>13.8</v>
      </c>
      <c r="W121" s="44">
        <v>13.1</v>
      </c>
      <c r="X121" s="44">
        <v>15.9</v>
      </c>
      <c r="Y121" s="44">
        <v>12.5</v>
      </c>
      <c r="Z121" s="44">
        <v>14</v>
      </c>
      <c r="AA121" s="44">
        <v>11.4</v>
      </c>
      <c r="AB121" s="44">
        <v>11.4</v>
      </c>
    </row>
    <row r="122" spans="1:28" ht="15" customHeight="1" x14ac:dyDescent="0.25">
      <c r="A122" s="41" t="s">
        <v>196</v>
      </c>
      <c r="B122" s="36" t="s">
        <v>28</v>
      </c>
      <c r="C122" s="36">
        <v>5</v>
      </c>
      <c r="D122" s="36" t="s">
        <v>28</v>
      </c>
      <c r="E122" s="36" t="s">
        <v>28</v>
      </c>
      <c r="F122" s="36">
        <v>11</v>
      </c>
      <c r="G122" s="36" t="s">
        <v>28</v>
      </c>
      <c r="H122" s="36" t="s">
        <v>28</v>
      </c>
      <c r="I122" s="36" t="s">
        <v>28</v>
      </c>
      <c r="J122" s="36">
        <v>5</v>
      </c>
      <c r="K122" s="36" t="s">
        <v>28</v>
      </c>
      <c r="L122" s="36">
        <v>288</v>
      </c>
      <c r="M122" s="36" t="s">
        <v>28</v>
      </c>
      <c r="N122" s="36" t="s">
        <v>28</v>
      </c>
      <c r="O122" s="36">
        <v>490</v>
      </c>
      <c r="P122" s="36" t="s">
        <v>28</v>
      </c>
      <c r="Q122" s="36" t="s">
        <v>28</v>
      </c>
      <c r="R122" s="36" t="s">
        <v>28</v>
      </c>
      <c r="S122" s="36">
        <v>332</v>
      </c>
      <c r="T122" s="38" t="s">
        <v>28</v>
      </c>
      <c r="U122" s="38">
        <v>18.2</v>
      </c>
      <c r="V122" s="38" t="s">
        <v>28</v>
      </c>
      <c r="W122" s="38" t="s">
        <v>28</v>
      </c>
      <c r="X122" s="38">
        <v>23</v>
      </c>
      <c r="Y122" s="38" t="s">
        <v>28</v>
      </c>
      <c r="Z122" s="38" t="s">
        <v>28</v>
      </c>
      <c r="AA122" s="38" t="s">
        <v>28</v>
      </c>
      <c r="AB122" s="38">
        <v>15.4</v>
      </c>
    </row>
    <row r="123" spans="1:28" ht="15" customHeight="1" x14ac:dyDescent="0.25">
      <c r="A123" s="41" t="s">
        <v>173</v>
      </c>
      <c r="B123" s="36" t="s">
        <v>28</v>
      </c>
      <c r="C123" s="36" t="s">
        <v>28</v>
      </c>
      <c r="D123" s="36" t="s">
        <v>28</v>
      </c>
      <c r="E123" s="36" t="s">
        <v>28</v>
      </c>
      <c r="F123" s="36" t="s">
        <v>28</v>
      </c>
      <c r="G123" s="36" t="s">
        <v>28</v>
      </c>
      <c r="H123" s="36" t="s">
        <v>28</v>
      </c>
      <c r="I123" s="36" t="s">
        <v>28</v>
      </c>
      <c r="J123" s="36" t="s">
        <v>28</v>
      </c>
      <c r="K123" s="36" t="s">
        <v>28</v>
      </c>
      <c r="L123" s="36" t="s">
        <v>28</v>
      </c>
      <c r="M123" s="36" t="s">
        <v>28</v>
      </c>
      <c r="N123" s="36" t="s">
        <v>28</v>
      </c>
      <c r="O123" s="36" t="s">
        <v>28</v>
      </c>
      <c r="P123" s="36" t="s">
        <v>28</v>
      </c>
      <c r="Q123" s="36" t="s">
        <v>28</v>
      </c>
      <c r="R123" s="36" t="s">
        <v>28</v>
      </c>
      <c r="S123" s="36" t="s">
        <v>28</v>
      </c>
      <c r="T123" s="38" t="s">
        <v>28</v>
      </c>
      <c r="U123" s="38" t="s">
        <v>28</v>
      </c>
      <c r="V123" s="38" t="s">
        <v>28</v>
      </c>
      <c r="W123" s="38" t="s">
        <v>28</v>
      </c>
      <c r="X123" s="38" t="s">
        <v>28</v>
      </c>
      <c r="Y123" s="38" t="s">
        <v>28</v>
      </c>
      <c r="Z123" s="38" t="s">
        <v>28</v>
      </c>
      <c r="AA123" s="38" t="s">
        <v>28</v>
      </c>
      <c r="AB123" s="38" t="s">
        <v>28</v>
      </c>
    </row>
    <row r="124" spans="1:28" ht="15" customHeight="1" x14ac:dyDescent="0.25">
      <c r="A124" s="41" t="s">
        <v>188</v>
      </c>
      <c r="B124" s="36" t="s">
        <v>28</v>
      </c>
      <c r="C124" s="36" t="s">
        <v>28</v>
      </c>
      <c r="D124" s="36" t="s">
        <v>28</v>
      </c>
      <c r="E124" s="36" t="s">
        <v>28</v>
      </c>
      <c r="F124" s="36" t="s">
        <v>28</v>
      </c>
      <c r="G124" s="36" t="s">
        <v>28</v>
      </c>
      <c r="H124" s="36" t="s">
        <v>28</v>
      </c>
      <c r="I124" s="36" t="s">
        <v>28</v>
      </c>
      <c r="J124" s="36" t="s">
        <v>28</v>
      </c>
      <c r="K124" s="36" t="s">
        <v>28</v>
      </c>
      <c r="L124" s="36" t="s">
        <v>28</v>
      </c>
      <c r="M124" s="36" t="s">
        <v>28</v>
      </c>
      <c r="N124" s="36" t="s">
        <v>28</v>
      </c>
      <c r="O124" s="36" t="s">
        <v>28</v>
      </c>
      <c r="P124" s="36" t="s">
        <v>28</v>
      </c>
      <c r="Q124" s="36" t="s">
        <v>28</v>
      </c>
      <c r="R124" s="36" t="s">
        <v>28</v>
      </c>
      <c r="S124" s="36" t="s">
        <v>28</v>
      </c>
      <c r="T124" s="38" t="s">
        <v>28</v>
      </c>
      <c r="U124" s="38" t="s">
        <v>28</v>
      </c>
      <c r="V124" s="38" t="s">
        <v>28</v>
      </c>
      <c r="W124" s="38" t="s">
        <v>28</v>
      </c>
      <c r="X124" s="38" t="s">
        <v>28</v>
      </c>
      <c r="Y124" s="38" t="s">
        <v>28</v>
      </c>
      <c r="Z124" s="38" t="s">
        <v>28</v>
      </c>
      <c r="AA124" s="38" t="s">
        <v>28</v>
      </c>
      <c r="AB124" s="38" t="s">
        <v>28</v>
      </c>
    </row>
    <row r="125" spans="1:28" ht="24" customHeight="1" x14ac:dyDescent="0.25">
      <c r="A125" s="40" t="s">
        <v>197</v>
      </c>
      <c r="B125" s="45" t="s">
        <v>16</v>
      </c>
      <c r="C125" s="45" t="s">
        <v>16</v>
      </c>
      <c r="D125" s="45" t="s">
        <v>16</v>
      </c>
      <c r="E125" s="45" t="s">
        <v>16</v>
      </c>
      <c r="F125" s="45" t="s">
        <v>16</v>
      </c>
      <c r="G125" s="45" t="s">
        <v>16</v>
      </c>
      <c r="H125" s="45" t="s">
        <v>16</v>
      </c>
      <c r="I125" s="45" t="s">
        <v>16</v>
      </c>
      <c r="J125" s="45" t="s">
        <v>16</v>
      </c>
      <c r="K125" s="45" t="s">
        <v>16</v>
      </c>
      <c r="L125" s="45" t="s">
        <v>16</v>
      </c>
      <c r="M125" s="45" t="s">
        <v>16</v>
      </c>
      <c r="N125" s="45" t="s">
        <v>16</v>
      </c>
      <c r="O125" s="45" t="s">
        <v>16</v>
      </c>
      <c r="P125" s="45" t="s">
        <v>16</v>
      </c>
      <c r="Q125" s="45" t="s">
        <v>16</v>
      </c>
      <c r="R125" s="45" t="s">
        <v>16</v>
      </c>
      <c r="S125" s="45" t="s">
        <v>16</v>
      </c>
      <c r="T125" s="47" t="s">
        <v>16</v>
      </c>
      <c r="U125" s="47" t="s">
        <v>16</v>
      </c>
      <c r="V125" s="47" t="s">
        <v>16</v>
      </c>
      <c r="W125" s="47" t="s">
        <v>16</v>
      </c>
      <c r="X125" s="47" t="s">
        <v>16</v>
      </c>
      <c r="Y125" s="47" t="s">
        <v>16</v>
      </c>
      <c r="Z125" s="47" t="s">
        <v>16</v>
      </c>
      <c r="AA125" s="47" t="s">
        <v>16</v>
      </c>
      <c r="AB125" s="47" t="s">
        <v>16</v>
      </c>
    </row>
    <row r="126" spans="1:28" ht="15" customHeight="1" x14ac:dyDescent="0.25">
      <c r="A126" s="35" t="s">
        <v>198</v>
      </c>
      <c r="B126" s="42" t="s">
        <v>16</v>
      </c>
      <c r="C126" s="42" t="s">
        <v>16</v>
      </c>
      <c r="D126" s="42" t="s">
        <v>16</v>
      </c>
      <c r="E126" s="42" t="s">
        <v>16</v>
      </c>
      <c r="F126" s="42" t="s">
        <v>16</v>
      </c>
      <c r="G126" s="42" t="s">
        <v>16</v>
      </c>
      <c r="H126" s="42" t="s">
        <v>16</v>
      </c>
      <c r="I126" s="42" t="s">
        <v>16</v>
      </c>
      <c r="J126" s="42" t="s">
        <v>16</v>
      </c>
      <c r="K126" s="42" t="s">
        <v>16</v>
      </c>
      <c r="L126" s="42" t="s">
        <v>16</v>
      </c>
      <c r="M126" s="42" t="s">
        <v>16</v>
      </c>
      <c r="N126" s="42" t="s">
        <v>16</v>
      </c>
      <c r="O126" s="42" t="s">
        <v>16</v>
      </c>
      <c r="P126" s="42" t="s">
        <v>16</v>
      </c>
      <c r="Q126" s="42" t="s">
        <v>16</v>
      </c>
      <c r="R126" s="42" t="s">
        <v>16</v>
      </c>
      <c r="S126" s="42" t="s">
        <v>16</v>
      </c>
      <c r="T126" s="44" t="s">
        <v>16</v>
      </c>
      <c r="U126" s="44" t="s">
        <v>16</v>
      </c>
      <c r="V126" s="44" t="s">
        <v>16</v>
      </c>
      <c r="W126" s="44" t="s">
        <v>16</v>
      </c>
      <c r="X126" s="44" t="s">
        <v>16</v>
      </c>
      <c r="Y126" s="44" t="s">
        <v>16</v>
      </c>
      <c r="Z126" s="44" t="s">
        <v>16</v>
      </c>
      <c r="AA126" s="44" t="s">
        <v>16</v>
      </c>
      <c r="AB126" s="44" t="s">
        <v>16</v>
      </c>
    </row>
    <row r="127" spans="1:28" ht="15" customHeight="1" x14ac:dyDescent="0.25">
      <c r="A127" s="39" t="s">
        <v>199</v>
      </c>
      <c r="B127" s="42">
        <v>31</v>
      </c>
      <c r="C127" s="42">
        <v>133</v>
      </c>
      <c r="D127" s="42">
        <v>114</v>
      </c>
      <c r="E127" s="42">
        <v>45</v>
      </c>
      <c r="F127" s="42">
        <v>179</v>
      </c>
      <c r="G127" s="42">
        <v>34</v>
      </c>
      <c r="H127" s="42">
        <v>107</v>
      </c>
      <c r="I127" s="42">
        <v>39</v>
      </c>
      <c r="J127" s="42">
        <v>118</v>
      </c>
      <c r="K127" s="42">
        <v>2128</v>
      </c>
      <c r="L127" s="42">
        <v>7867</v>
      </c>
      <c r="M127" s="42">
        <v>7403</v>
      </c>
      <c r="N127" s="42">
        <v>3047</v>
      </c>
      <c r="O127" s="42">
        <v>9914</v>
      </c>
      <c r="P127" s="42">
        <v>2015</v>
      </c>
      <c r="Q127" s="42">
        <v>5677</v>
      </c>
      <c r="R127" s="42">
        <v>2669</v>
      </c>
      <c r="S127" s="42">
        <v>8025</v>
      </c>
      <c r="T127" s="44">
        <v>14.5</v>
      </c>
      <c r="U127" s="44">
        <v>16.899999999999999</v>
      </c>
      <c r="V127" s="44">
        <v>15.4</v>
      </c>
      <c r="W127" s="44">
        <v>14.7</v>
      </c>
      <c r="X127" s="44">
        <v>18</v>
      </c>
      <c r="Y127" s="44">
        <v>16.899999999999999</v>
      </c>
      <c r="Z127" s="44">
        <v>18.899999999999999</v>
      </c>
      <c r="AA127" s="44">
        <v>14.6</v>
      </c>
      <c r="AB127" s="44">
        <v>14.7</v>
      </c>
    </row>
    <row r="128" spans="1:28" ht="15" customHeight="1" x14ac:dyDescent="0.25">
      <c r="A128" s="39" t="s">
        <v>200</v>
      </c>
      <c r="B128" s="42">
        <v>9</v>
      </c>
      <c r="C128" s="42">
        <v>20</v>
      </c>
      <c r="D128" s="42">
        <v>38</v>
      </c>
      <c r="E128" s="42">
        <v>20</v>
      </c>
      <c r="F128" s="42">
        <v>72</v>
      </c>
      <c r="G128" s="42">
        <v>28</v>
      </c>
      <c r="H128" s="42">
        <v>47</v>
      </c>
      <c r="I128" s="42">
        <v>22</v>
      </c>
      <c r="J128" s="42">
        <v>42</v>
      </c>
      <c r="K128" s="42">
        <v>966</v>
      </c>
      <c r="L128" s="42">
        <v>1456</v>
      </c>
      <c r="M128" s="42">
        <v>3061</v>
      </c>
      <c r="N128" s="42">
        <v>1819</v>
      </c>
      <c r="O128" s="42">
        <v>5205</v>
      </c>
      <c r="P128" s="42">
        <v>1773</v>
      </c>
      <c r="Q128" s="42">
        <v>3629</v>
      </c>
      <c r="R128" s="42">
        <v>1526</v>
      </c>
      <c r="S128" s="42">
        <v>3584</v>
      </c>
      <c r="T128" s="44">
        <v>9</v>
      </c>
      <c r="U128" s="44">
        <v>13.9</v>
      </c>
      <c r="V128" s="44">
        <v>12.3</v>
      </c>
      <c r="W128" s="44">
        <v>11.3</v>
      </c>
      <c r="X128" s="44">
        <v>13.9</v>
      </c>
      <c r="Y128" s="44">
        <v>15.6</v>
      </c>
      <c r="Z128" s="44">
        <v>13</v>
      </c>
      <c r="AA128" s="44">
        <v>14.2</v>
      </c>
      <c r="AB128" s="44">
        <v>11.8</v>
      </c>
    </row>
    <row r="129" spans="1:28" ht="15" customHeight="1" x14ac:dyDescent="0.25">
      <c r="A129" s="39" t="s">
        <v>201</v>
      </c>
      <c r="B129" s="42">
        <v>11</v>
      </c>
      <c r="C129" s="42">
        <v>17</v>
      </c>
      <c r="D129" s="42">
        <v>23</v>
      </c>
      <c r="E129" s="42">
        <v>10</v>
      </c>
      <c r="F129" s="42">
        <v>36</v>
      </c>
      <c r="G129" s="42">
        <v>9</v>
      </c>
      <c r="H129" s="42">
        <v>18</v>
      </c>
      <c r="I129" s="42">
        <v>6</v>
      </c>
      <c r="J129" s="42">
        <v>16</v>
      </c>
      <c r="K129" s="42">
        <v>1099</v>
      </c>
      <c r="L129" s="42">
        <v>1776</v>
      </c>
      <c r="M129" s="42">
        <v>2080</v>
      </c>
      <c r="N129" s="42">
        <v>1150</v>
      </c>
      <c r="O129" s="42">
        <v>2488</v>
      </c>
      <c r="P129" s="42">
        <v>1036</v>
      </c>
      <c r="Q129" s="42">
        <v>1288</v>
      </c>
      <c r="R129" s="42">
        <v>616</v>
      </c>
      <c r="S129" s="42">
        <v>1571</v>
      </c>
      <c r="T129" s="44">
        <v>10</v>
      </c>
      <c r="U129" s="44">
        <v>9.3000000000000007</v>
      </c>
      <c r="V129" s="44">
        <v>11</v>
      </c>
      <c r="W129" s="44">
        <v>8.3000000000000007</v>
      </c>
      <c r="X129" s="44">
        <v>14.3</v>
      </c>
      <c r="Y129" s="44">
        <v>8.6</v>
      </c>
      <c r="Z129" s="44">
        <v>14.3</v>
      </c>
      <c r="AA129" s="44">
        <v>10.3</v>
      </c>
      <c r="AB129" s="44">
        <v>10.199999999999999</v>
      </c>
    </row>
    <row r="130" spans="1:28" ht="15" customHeight="1" x14ac:dyDescent="0.25">
      <c r="A130" s="41" t="s">
        <v>202</v>
      </c>
      <c r="B130" s="42">
        <v>9</v>
      </c>
      <c r="C130" s="42">
        <v>46</v>
      </c>
      <c r="D130" s="42">
        <v>42</v>
      </c>
      <c r="E130" s="42">
        <v>18</v>
      </c>
      <c r="F130" s="42">
        <v>68</v>
      </c>
      <c r="G130" s="42">
        <v>19</v>
      </c>
      <c r="H130" s="42">
        <v>44</v>
      </c>
      <c r="I130" s="42">
        <v>19</v>
      </c>
      <c r="J130" s="42">
        <v>60</v>
      </c>
      <c r="K130" s="42">
        <v>742</v>
      </c>
      <c r="L130" s="42">
        <v>2636</v>
      </c>
      <c r="M130" s="42">
        <v>2545</v>
      </c>
      <c r="N130" s="42">
        <v>1121</v>
      </c>
      <c r="O130" s="42">
        <v>3858</v>
      </c>
      <c r="P130" s="42">
        <v>1331</v>
      </c>
      <c r="Q130" s="42">
        <v>2254</v>
      </c>
      <c r="R130" s="42">
        <v>1426</v>
      </c>
      <c r="S130" s="42">
        <v>3465</v>
      </c>
      <c r="T130" s="44">
        <v>11.9</v>
      </c>
      <c r="U130" s="44">
        <v>17.5</v>
      </c>
      <c r="V130" s="44">
        <v>16.5</v>
      </c>
      <c r="W130" s="44">
        <v>16.2</v>
      </c>
      <c r="X130" s="44">
        <v>17.600000000000001</v>
      </c>
      <c r="Y130" s="44">
        <v>14.3</v>
      </c>
      <c r="Z130" s="44">
        <v>19.5</v>
      </c>
      <c r="AA130" s="44">
        <v>13.5</v>
      </c>
      <c r="AB130" s="44">
        <v>17.2</v>
      </c>
    </row>
    <row r="131" spans="1:28" ht="45.95" customHeight="1" x14ac:dyDescent="0.25">
      <c r="A131" s="40" t="s">
        <v>203</v>
      </c>
      <c r="B131" s="45" t="s">
        <v>16</v>
      </c>
      <c r="C131" s="45" t="s">
        <v>16</v>
      </c>
      <c r="D131" s="45" t="s">
        <v>16</v>
      </c>
      <c r="E131" s="45" t="s">
        <v>16</v>
      </c>
      <c r="F131" s="45" t="s">
        <v>16</v>
      </c>
      <c r="G131" s="45" t="s">
        <v>16</v>
      </c>
      <c r="H131" s="45" t="s">
        <v>16</v>
      </c>
      <c r="I131" s="45" t="s">
        <v>16</v>
      </c>
      <c r="J131" s="45" t="s">
        <v>16</v>
      </c>
      <c r="K131" s="45" t="s">
        <v>16</v>
      </c>
      <c r="L131" s="45" t="s">
        <v>16</v>
      </c>
      <c r="M131" s="45" t="s">
        <v>16</v>
      </c>
      <c r="N131" s="45" t="s">
        <v>16</v>
      </c>
      <c r="O131" s="45" t="s">
        <v>16</v>
      </c>
      <c r="P131" s="45" t="s">
        <v>16</v>
      </c>
      <c r="Q131" s="45" t="s">
        <v>16</v>
      </c>
      <c r="R131" s="45" t="s">
        <v>16</v>
      </c>
      <c r="S131" s="45" t="s">
        <v>16</v>
      </c>
      <c r="T131" s="47" t="s">
        <v>16</v>
      </c>
      <c r="U131" s="47" t="s">
        <v>16</v>
      </c>
      <c r="V131" s="47" t="s">
        <v>16</v>
      </c>
      <c r="W131" s="47" t="s">
        <v>16</v>
      </c>
      <c r="X131" s="47" t="s">
        <v>16</v>
      </c>
      <c r="Y131" s="47" t="s">
        <v>16</v>
      </c>
      <c r="Z131" s="47" t="s">
        <v>16</v>
      </c>
      <c r="AA131" s="47" t="s">
        <v>16</v>
      </c>
      <c r="AB131" s="47" t="s">
        <v>16</v>
      </c>
    </row>
    <row r="132" spans="1:28" ht="15" customHeight="1" x14ac:dyDescent="0.25">
      <c r="A132" s="35" t="s">
        <v>204</v>
      </c>
      <c r="B132" s="42">
        <v>33</v>
      </c>
      <c r="C132" s="42">
        <v>109</v>
      </c>
      <c r="D132" s="42">
        <v>99</v>
      </c>
      <c r="E132" s="42">
        <v>43</v>
      </c>
      <c r="F132" s="42">
        <v>118</v>
      </c>
      <c r="G132" s="42">
        <v>43</v>
      </c>
      <c r="H132" s="42">
        <v>96</v>
      </c>
      <c r="I132" s="42">
        <v>33</v>
      </c>
      <c r="J132" s="42">
        <v>74</v>
      </c>
      <c r="K132" s="42">
        <v>2625</v>
      </c>
      <c r="L132" s="42">
        <v>6635</v>
      </c>
      <c r="M132" s="42">
        <v>6625</v>
      </c>
      <c r="N132" s="42">
        <v>3431</v>
      </c>
      <c r="O132" s="42">
        <v>7183</v>
      </c>
      <c r="P132" s="42">
        <v>2728</v>
      </c>
      <c r="Q132" s="42">
        <v>5234</v>
      </c>
      <c r="R132" s="42">
        <v>2245</v>
      </c>
      <c r="S132" s="42">
        <v>5206</v>
      </c>
      <c r="T132" s="44">
        <v>12.4</v>
      </c>
      <c r="U132" s="44">
        <v>16.399999999999999</v>
      </c>
      <c r="V132" s="44">
        <v>14.9</v>
      </c>
      <c r="W132" s="44">
        <v>12.6</v>
      </c>
      <c r="X132" s="44">
        <v>16.399999999999999</v>
      </c>
      <c r="Y132" s="44">
        <v>15.9</v>
      </c>
      <c r="Z132" s="44">
        <v>18.399999999999999</v>
      </c>
      <c r="AA132" s="44">
        <v>14.5</v>
      </c>
      <c r="AB132" s="44">
        <v>14.3</v>
      </c>
    </row>
    <row r="133" spans="1:28" ht="15" customHeight="1" x14ac:dyDescent="0.25">
      <c r="A133" s="39" t="s">
        <v>205</v>
      </c>
      <c r="B133" s="42">
        <v>10</v>
      </c>
      <c r="C133" s="42">
        <v>28</v>
      </c>
      <c r="D133" s="42">
        <v>40</v>
      </c>
      <c r="E133" s="42">
        <v>22</v>
      </c>
      <c r="F133" s="42">
        <v>39</v>
      </c>
      <c r="G133" s="42">
        <v>12</v>
      </c>
      <c r="H133" s="42">
        <v>26</v>
      </c>
      <c r="I133" s="42">
        <v>15</v>
      </c>
      <c r="J133" s="42">
        <v>13</v>
      </c>
      <c r="K133" s="42">
        <v>815</v>
      </c>
      <c r="L133" s="42">
        <v>1759</v>
      </c>
      <c r="M133" s="42">
        <v>2501</v>
      </c>
      <c r="N133" s="42">
        <v>1580</v>
      </c>
      <c r="O133" s="42">
        <v>2328</v>
      </c>
      <c r="P133" s="42">
        <v>778</v>
      </c>
      <c r="Q133" s="42">
        <v>1451</v>
      </c>
      <c r="R133" s="42">
        <v>855</v>
      </c>
      <c r="S133" s="42">
        <v>902</v>
      </c>
      <c r="T133" s="44">
        <v>12</v>
      </c>
      <c r="U133" s="44">
        <v>15.9</v>
      </c>
      <c r="V133" s="44">
        <v>15.9</v>
      </c>
      <c r="W133" s="44">
        <v>13.6</v>
      </c>
      <c r="X133" s="44">
        <v>16.7</v>
      </c>
      <c r="Y133" s="44">
        <v>15.9</v>
      </c>
      <c r="Z133" s="44">
        <v>18.3</v>
      </c>
      <c r="AA133" s="44">
        <v>17</v>
      </c>
      <c r="AB133" s="44">
        <v>14.8</v>
      </c>
    </row>
    <row r="134" spans="1:28" ht="15" customHeight="1" x14ac:dyDescent="0.25">
      <c r="A134" s="39" t="s">
        <v>206</v>
      </c>
      <c r="B134" s="42" t="s">
        <v>28</v>
      </c>
      <c r="C134" s="42" t="s">
        <v>28</v>
      </c>
      <c r="D134" s="42" t="s">
        <v>28</v>
      </c>
      <c r="E134" s="42" t="s">
        <v>28</v>
      </c>
      <c r="F134" s="42">
        <v>9</v>
      </c>
      <c r="G134" s="42" t="s">
        <v>28</v>
      </c>
      <c r="H134" s="42" t="s">
        <v>28</v>
      </c>
      <c r="I134" s="42" t="s">
        <v>28</v>
      </c>
      <c r="J134" s="42" t="s">
        <v>28</v>
      </c>
      <c r="K134" s="42" t="s">
        <v>28</v>
      </c>
      <c r="L134" s="42" t="s">
        <v>28</v>
      </c>
      <c r="M134" s="42" t="s">
        <v>28</v>
      </c>
      <c r="N134" s="42" t="s">
        <v>28</v>
      </c>
      <c r="O134" s="42">
        <v>344</v>
      </c>
      <c r="P134" s="42" t="s">
        <v>28</v>
      </c>
      <c r="Q134" s="42" t="s">
        <v>28</v>
      </c>
      <c r="R134" s="42" t="s">
        <v>28</v>
      </c>
      <c r="S134" s="42" t="s">
        <v>28</v>
      </c>
      <c r="T134" s="44" t="s">
        <v>28</v>
      </c>
      <c r="U134" s="44">
        <v>24.8</v>
      </c>
      <c r="V134" s="44" t="s">
        <v>28</v>
      </c>
      <c r="W134" s="44" t="s">
        <v>28</v>
      </c>
      <c r="X134" s="44">
        <v>26.1</v>
      </c>
      <c r="Y134" s="44" t="s">
        <v>28</v>
      </c>
      <c r="Z134" s="44" t="s">
        <v>28</v>
      </c>
      <c r="AA134" s="44" t="s">
        <v>28</v>
      </c>
      <c r="AB134" s="44" t="s">
        <v>28</v>
      </c>
    </row>
    <row r="135" spans="1:28" ht="15" customHeight="1" x14ac:dyDescent="0.25">
      <c r="A135" s="39" t="s">
        <v>207</v>
      </c>
      <c r="B135" s="42">
        <v>18</v>
      </c>
      <c r="C135" s="42">
        <v>65</v>
      </c>
      <c r="D135" s="42">
        <v>51</v>
      </c>
      <c r="E135" s="42">
        <v>29</v>
      </c>
      <c r="F135" s="42">
        <v>50</v>
      </c>
      <c r="G135" s="42">
        <v>29</v>
      </c>
      <c r="H135" s="42">
        <v>47</v>
      </c>
      <c r="I135" s="42">
        <v>13</v>
      </c>
      <c r="J135" s="42">
        <v>28</v>
      </c>
      <c r="K135" s="42">
        <v>1388</v>
      </c>
      <c r="L135" s="42">
        <v>4069</v>
      </c>
      <c r="M135" s="42">
        <v>3256</v>
      </c>
      <c r="N135" s="42">
        <v>2118</v>
      </c>
      <c r="O135" s="42">
        <v>2842</v>
      </c>
      <c r="P135" s="42">
        <v>1638</v>
      </c>
      <c r="Q135" s="42">
        <v>2358</v>
      </c>
      <c r="R135" s="42">
        <v>1063</v>
      </c>
      <c r="S135" s="42">
        <v>2034</v>
      </c>
      <c r="T135" s="44">
        <v>12.7</v>
      </c>
      <c r="U135" s="44">
        <v>15.9</v>
      </c>
      <c r="V135" s="44">
        <v>15.7</v>
      </c>
      <c r="W135" s="44">
        <v>13.6</v>
      </c>
      <c r="X135" s="44">
        <v>17.5</v>
      </c>
      <c r="Y135" s="44">
        <v>17.5</v>
      </c>
      <c r="Z135" s="44">
        <v>19.899999999999999</v>
      </c>
      <c r="AA135" s="44">
        <v>12.5</v>
      </c>
      <c r="AB135" s="44">
        <v>13.9</v>
      </c>
    </row>
    <row r="136" spans="1:28" ht="15" customHeight="1" x14ac:dyDescent="0.25">
      <c r="A136" s="39" t="s">
        <v>208</v>
      </c>
      <c r="B136" s="36">
        <v>4</v>
      </c>
      <c r="C136" s="36">
        <v>7</v>
      </c>
      <c r="D136" s="36">
        <v>10</v>
      </c>
      <c r="E136" s="36">
        <v>8</v>
      </c>
      <c r="F136" s="36">
        <v>17</v>
      </c>
      <c r="G136" s="36">
        <v>5</v>
      </c>
      <c r="H136" s="36">
        <v>9</v>
      </c>
      <c r="I136" s="36" t="s">
        <v>28</v>
      </c>
      <c r="J136" s="36">
        <v>9</v>
      </c>
      <c r="K136" s="36">
        <v>264</v>
      </c>
      <c r="L136" s="36">
        <v>646</v>
      </c>
      <c r="M136" s="36">
        <v>603</v>
      </c>
      <c r="N136" s="36">
        <v>468</v>
      </c>
      <c r="O136" s="36">
        <v>767</v>
      </c>
      <c r="P136" s="36">
        <v>299</v>
      </c>
      <c r="Q136" s="36">
        <v>369</v>
      </c>
      <c r="R136" s="36" t="s">
        <v>28</v>
      </c>
      <c r="S136" s="36">
        <v>647</v>
      </c>
      <c r="T136" s="38">
        <v>15</v>
      </c>
      <c r="U136" s="38">
        <v>10.5</v>
      </c>
      <c r="V136" s="38">
        <v>16.100000000000001</v>
      </c>
      <c r="W136" s="38">
        <v>16.3</v>
      </c>
      <c r="X136" s="38">
        <v>21.7</v>
      </c>
      <c r="Y136" s="38">
        <v>16.3</v>
      </c>
      <c r="Z136" s="38">
        <v>23.7</v>
      </c>
      <c r="AA136" s="38" t="s">
        <v>28</v>
      </c>
      <c r="AB136" s="38">
        <v>14.6</v>
      </c>
    </row>
    <row r="137" spans="1:28" ht="15" customHeight="1" x14ac:dyDescent="0.25">
      <c r="A137" s="39" t="s">
        <v>209</v>
      </c>
      <c r="B137" s="36">
        <v>17</v>
      </c>
      <c r="C137" s="36">
        <v>63</v>
      </c>
      <c r="D137" s="36">
        <v>55</v>
      </c>
      <c r="E137" s="36">
        <v>23</v>
      </c>
      <c r="F137" s="36">
        <v>64</v>
      </c>
      <c r="G137" s="36">
        <v>22</v>
      </c>
      <c r="H137" s="36">
        <v>47</v>
      </c>
      <c r="I137" s="36">
        <v>23</v>
      </c>
      <c r="J137" s="36">
        <v>42</v>
      </c>
      <c r="K137" s="36">
        <v>1431</v>
      </c>
      <c r="L137" s="36">
        <v>3589</v>
      </c>
      <c r="M137" s="36">
        <v>3557</v>
      </c>
      <c r="N137" s="36">
        <v>1625</v>
      </c>
      <c r="O137" s="36">
        <v>3316</v>
      </c>
      <c r="P137" s="36">
        <v>1214</v>
      </c>
      <c r="Q137" s="36">
        <v>2264</v>
      </c>
      <c r="R137" s="36">
        <v>1418</v>
      </c>
      <c r="S137" s="36">
        <v>2836</v>
      </c>
      <c r="T137" s="38">
        <v>11.9</v>
      </c>
      <c r="U137" s="38">
        <v>17.5</v>
      </c>
      <c r="V137" s="38">
        <v>15.5</v>
      </c>
      <c r="W137" s="38">
        <v>14.2</v>
      </c>
      <c r="X137" s="38">
        <v>19.2</v>
      </c>
      <c r="Y137" s="38">
        <v>18.5</v>
      </c>
      <c r="Z137" s="38">
        <v>20.7</v>
      </c>
      <c r="AA137" s="38">
        <v>16.3</v>
      </c>
      <c r="AB137" s="38">
        <v>14.9</v>
      </c>
    </row>
    <row r="138" spans="1:28" ht="15" customHeight="1" x14ac:dyDescent="0.25">
      <c r="A138" s="39" t="s">
        <v>210</v>
      </c>
      <c r="B138" s="36">
        <v>13</v>
      </c>
      <c r="C138" s="36">
        <v>29</v>
      </c>
      <c r="D138" s="36">
        <v>24</v>
      </c>
      <c r="E138" s="36">
        <v>12</v>
      </c>
      <c r="F138" s="36">
        <v>37</v>
      </c>
      <c r="G138" s="36">
        <v>10</v>
      </c>
      <c r="H138" s="36">
        <v>24</v>
      </c>
      <c r="I138" s="36" t="s">
        <v>28</v>
      </c>
      <c r="J138" s="36">
        <v>15</v>
      </c>
      <c r="K138" s="36">
        <v>1095</v>
      </c>
      <c r="L138" s="36">
        <v>2308</v>
      </c>
      <c r="M138" s="36">
        <v>2026</v>
      </c>
      <c r="N138" s="36">
        <v>1013</v>
      </c>
      <c r="O138" s="36">
        <v>2079</v>
      </c>
      <c r="P138" s="36">
        <v>583</v>
      </c>
      <c r="Q138" s="36">
        <v>1098</v>
      </c>
      <c r="R138" s="36">
        <v>770</v>
      </c>
      <c r="S138" s="36">
        <v>1278</v>
      </c>
      <c r="T138" s="38">
        <v>11.6</v>
      </c>
      <c r="U138" s="38">
        <v>12.4</v>
      </c>
      <c r="V138" s="38">
        <v>11.9</v>
      </c>
      <c r="W138" s="38">
        <v>12.3</v>
      </c>
      <c r="X138" s="38">
        <v>17.8</v>
      </c>
      <c r="Y138" s="38">
        <v>17.3</v>
      </c>
      <c r="Z138" s="38">
        <v>21.6</v>
      </c>
      <c r="AA138" s="38">
        <v>15.3</v>
      </c>
      <c r="AB138" s="38">
        <v>12.1</v>
      </c>
    </row>
    <row r="139" spans="1:28" ht="15" customHeight="1" x14ac:dyDescent="0.25">
      <c r="A139" s="39" t="s">
        <v>211</v>
      </c>
      <c r="B139" s="36">
        <v>22</v>
      </c>
      <c r="C139" s="36">
        <v>85</v>
      </c>
      <c r="D139" s="36">
        <v>66</v>
      </c>
      <c r="E139" s="36">
        <v>28</v>
      </c>
      <c r="F139" s="36">
        <v>78</v>
      </c>
      <c r="G139" s="36">
        <v>25</v>
      </c>
      <c r="H139" s="36">
        <v>61</v>
      </c>
      <c r="I139" s="36">
        <v>24</v>
      </c>
      <c r="J139" s="36">
        <v>45</v>
      </c>
      <c r="K139" s="36">
        <v>1570</v>
      </c>
      <c r="L139" s="36">
        <v>4908</v>
      </c>
      <c r="M139" s="36">
        <v>4572</v>
      </c>
      <c r="N139" s="36">
        <v>1967</v>
      </c>
      <c r="O139" s="36">
        <v>4547</v>
      </c>
      <c r="P139" s="36">
        <v>1431</v>
      </c>
      <c r="Q139" s="36">
        <v>3256</v>
      </c>
      <c r="R139" s="36">
        <v>1561</v>
      </c>
      <c r="S139" s="36">
        <v>2837</v>
      </c>
      <c r="T139" s="38">
        <v>13.8</v>
      </c>
      <c r="U139" s="38">
        <v>17.3</v>
      </c>
      <c r="V139" s="38">
        <v>14.4</v>
      </c>
      <c r="W139" s="38">
        <v>14</v>
      </c>
      <c r="X139" s="38">
        <v>17.2</v>
      </c>
      <c r="Y139" s="38">
        <v>17.5</v>
      </c>
      <c r="Z139" s="38">
        <v>18.7</v>
      </c>
      <c r="AA139" s="38">
        <v>15.4</v>
      </c>
      <c r="AB139" s="38">
        <v>15.7</v>
      </c>
    </row>
    <row r="140" spans="1:28" ht="15" customHeight="1" x14ac:dyDescent="0.25">
      <c r="A140" s="39" t="s">
        <v>212</v>
      </c>
      <c r="B140" s="36">
        <v>23</v>
      </c>
      <c r="C140" s="36">
        <v>69</v>
      </c>
      <c r="D140" s="36">
        <v>60</v>
      </c>
      <c r="E140" s="36">
        <v>29</v>
      </c>
      <c r="F140" s="36">
        <v>70</v>
      </c>
      <c r="G140" s="36">
        <v>25</v>
      </c>
      <c r="H140" s="36">
        <v>64</v>
      </c>
      <c r="I140" s="36">
        <v>23</v>
      </c>
      <c r="J140" s="36">
        <v>47</v>
      </c>
      <c r="K140" s="36">
        <v>1666</v>
      </c>
      <c r="L140" s="36">
        <v>4343</v>
      </c>
      <c r="M140" s="36">
        <v>4113</v>
      </c>
      <c r="N140" s="36">
        <v>1989</v>
      </c>
      <c r="O140" s="36">
        <v>4135</v>
      </c>
      <c r="P140" s="36">
        <v>1440</v>
      </c>
      <c r="Q140" s="36">
        <v>3174</v>
      </c>
      <c r="R140" s="36">
        <v>1496</v>
      </c>
      <c r="S140" s="36">
        <v>3058</v>
      </c>
      <c r="T140" s="38">
        <v>13.7</v>
      </c>
      <c r="U140" s="38">
        <v>15.8</v>
      </c>
      <c r="V140" s="38">
        <v>14.7</v>
      </c>
      <c r="W140" s="38">
        <v>14.5</v>
      </c>
      <c r="X140" s="38">
        <v>17</v>
      </c>
      <c r="Y140" s="38">
        <v>17.2</v>
      </c>
      <c r="Z140" s="38">
        <v>20.2</v>
      </c>
      <c r="AA140" s="38">
        <v>15.3</v>
      </c>
      <c r="AB140" s="38">
        <v>15.4</v>
      </c>
    </row>
    <row r="141" spans="1:28" ht="15" customHeight="1" x14ac:dyDescent="0.25">
      <c r="A141" s="39" t="s">
        <v>213</v>
      </c>
      <c r="B141" s="36">
        <v>15</v>
      </c>
      <c r="C141" s="36">
        <v>47</v>
      </c>
      <c r="D141" s="36">
        <v>37</v>
      </c>
      <c r="E141" s="36">
        <v>20</v>
      </c>
      <c r="F141" s="36">
        <v>49</v>
      </c>
      <c r="G141" s="36">
        <v>16</v>
      </c>
      <c r="H141" s="36">
        <v>35</v>
      </c>
      <c r="I141" s="36">
        <v>16</v>
      </c>
      <c r="J141" s="36">
        <v>28</v>
      </c>
      <c r="K141" s="36">
        <v>1172</v>
      </c>
      <c r="L141" s="36">
        <v>2796</v>
      </c>
      <c r="M141" s="36">
        <v>2623</v>
      </c>
      <c r="N141" s="36">
        <v>1378</v>
      </c>
      <c r="O141" s="36">
        <v>2555</v>
      </c>
      <c r="P141" s="36">
        <v>979</v>
      </c>
      <c r="Q141" s="36">
        <v>1877</v>
      </c>
      <c r="R141" s="36">
        <v>986</v>
      </c>
      <c r="S141" s="36">
        <v>1721</v>
      </c>
      <c r="T141" s="38">
        <v>12.9</v>
      </c>
      <c r="U141" s="38">
        <v>16.7</v>
      </c>
      <c r="V141" s="38">
        <v>14.2</v>
      </c>
      <c r="W141" s="38">
        <v>14.9</v>
      </c>
      <c r="X141" s="38">
        <v>19.3</v>
      </c>
      <c r="Y141" s="38">
        <v>16.8</v>
      </c>
      <c r="Z141" s="38">
        <v>18.899999999999999</v>
      </c>
      <c r="AA141" s="38">
        <v>16.399999999999999</v>
      </c>
      <c r="AB141" s="38">
        <v>16.100000000000001</v>
      </c>
    </row>
    <row r="142" spans="1:28" ht="15" customHeight="1" x14ac:dyDescent="0.25">
      <c r="A142" s="39" t="s">
        <v>214</v>
      </c>
      <c r="B142" s="36">
        <v>12</v>
      </c>
      <c r="C142" s="36">
        <v>40</v>
      </c>
      <c r="D142" s="36">
        <v>33</v>
      </c>
      <c r="E142" s="36">
        <v>17</v>
      </c>
      <c r="F142" s="36">
        <v>42</v>
      </c>
      <c r="G142" s="36">
        <v>11</v>
      </c>
      <c r="H142" s="36">
        <v>27</v>
      </c>
      <c r="I142" s="36">
        <v>14</v>
      </c>
      <c r="J142" s="36">
        <v>25</v>
      </c>
      <c r="K142" s="36">
        <v>1023</v>
      </c>
      <c r="L142" s="36">
        <v>2355</v>
      </c>
      <c r="M142" s="36">
        <v>2292</v>
      </c>
      <c r="N142" s="36">
        <v>1153</v>
      </c>
      <c r="O142" s="36">
        <v>2355</v>
      </c>
      <c r="P142" s="36">
        <v>821</v>
      </c>
      <c r="Q142" s="36">
        <v>1433</v>
      </c>
      <c r="R142" s="36">
        <v>782</v>
      </c>
      <c r="S142" s="36">
        <v>1593</v>
      </c>
      <c r="T142" s="38">
        <v>12</v>
      </c>
      <c r="U142" s="38">
        <v>17.2</v>
      </c>
      <c r="V142" s="38">
        <v>14.5</v>
      </c>
      <c r="W142" s="38">
        <v>15</v>
      </c>
      <c r="X142" s="38">
        <v>17.8</v>
      </c>
      <c r="Y142" s="38">
        <v>13.8</v>
      </c>
      <c r="Z142" s="38">
        <v>18.600000000000001</v>
      </c>
      <c r="AA142" s="38">
        <v>17.7</v>
      </c>
      <c r="AB142" s="38">
        <v>15.8</v>
      </c>
    </row>
    <row r="143" spans="1:28" ht="15" customHeight="1" x14ac:dyDescent="0.25">
      <c r="A143" s="39" t="s">
        <v>215</v>
      </c>
      <c r="B143" s="36">
        <v>8</v>
      </c>
      <c r="C143" s="36">
        <v>18</v>
      </c>
      <c r="D143" s="36">
        <v>17</v>
      </c>
      <c r="E143" s="36">
        <v>14</v>
      </c>
      <c r="F143" s="36">
        <v>24</v>
      </c>
      <c r="G143" s="36">
        <v>5</v>
      </c>
      <c r="H143" s="36">
        <v>16</v>
      </c>
      <c r="I143" s="36" t="s">
        <v>28</v>
      </c>
      <c r="J143" s="36">
        <v>13</v>
      </c>
      <c r="K143" s="36">
        <v>581</v>
      </c>
      <c r="L143" s="36">
        <v>1168</v>
      </c>
      <c r="M143" s="36">
        <v>1266</v>
      </c>
      <c r="N143" s="36">
        <v>929</v>
      </c>
      <c r="O143" s="36">
        <v>1150</v>
      </c>
      <c r="P143" s="36">
        <v>409</v>
      </c>
      <c r="Q143" s="36">
        <v>746</v>
      </c>
      <c r="R143" s="36" t="s">
        <v>28</v>
      </c>
      <c r="S143" s="36">
        <v>821</v>
      </c>
      <c r="T143" s="38">
        <v>13.6</v>
      </c>
      <c r="U143" s="38">
        <v>15.5</v>
      </c>
      <c r="V143" s="38">
        <v>13.7</v>
      </c>
      <c r="W143" s="38">
        <v>15.2</v>
      </c>
      <c r="X143" s="38">
        <v>21.2</v>
      </c>
      <c r="Y143" s="38">
        <v>11.9</v>
      </c>
      <c r="Z143" s="38">
        <v>21.9</v>
      </c>
      <c r="AA143" s="38">
        <v>19.5</v>
      </c>
      <c r="AB143" s="38">
        <v>16.2</v>
      </c>
    </row>
    <row r="144" spans="1:28" ht="15" customHeight="1" x14ac:dyDescent="0.25">
      <c r="A144" s="39" t="s">
        <v>216</v>
      </c>
      <c r="B144" s="36">
        <v>17</v>
      </c>
      <c r="C144" s="36">
        <v>54</v>
      </c>
      <c r="D144" s="36">
        <v>43</v>
      </c>
      <c r="E144" s="36">
        <v>20</v>
      </c>
      <c r="F144" s="36">
        <v>53</v>
      </c>
      <c r="G144" s="36">
        <v>14</v>
      </c>
      <c r="H144" s="36">
        <v>39</v>
      </c>
      <c r="I144" s="36">
        <v>13</v>
      </c>
      <c r="J144" s="36">
        <v>31</v>
      </c>
      <c r="K144" s="36">
        <v>1368</v>
      </c>
      <c r="L144" s="36">
        <v>3234</v>
      </c>
      <c r="M144" s="36">
        <v>2611</v>
      </c>
      <c r="N144" s="36">
        <v>1201</v>
      </c>
      <c r="O144" s="36">
        <v>2773</v>
      </c>
      <c r="P144" s="36">
        <v>899</v>
      </c>
      <c r="Q144" s="36">
        <v>2178</v>
      </c>
      <c r="R144" s="36">
        <v>912</v>
      </c>
      <c r="S144" s="36">
        <v>1987</v>
      </c>
      <c r="T144" s="38">
        <v>12.2</v>
      </c>
      <c r="U144" s="38">
        <v>16.7</v>
      </c>
      <c r="V144" s="38">
        <v>16.3</v>
      </c>
      <c r="W144" s="38">
        <v>16.7</v>
      </c>
      <c r="X144" s="38">
        <v>19</v>
      </c>
      <c r="Y144" s="38">
        <v>15.8</v>
      </c>
      <c r="Z144" s="38">
        <v>17.7</v>
      </c>
      <c r="AA144" s="38">
        <v>13.9</v>
      </c>
      <c r="AB144" s="38">
        <v>15.4</v>
      </c>
    </row>
    <row r="145" spans="1:28" ht="15" customHeight="1" x14ac:dyDescent="0.25">
      <c r="A145" s="39" t="s">
        <v>217</v>
      </c>
      <c r="B145" s="36">
        <v>5</v>
      </c>
      <c r="C145" s="36">
        <v>4</v>
      </c>
      <c r="D145" s="36">
        <v>9</v>
      </c>
      <c r="E145" s="36">
        <v>5</v>
      </c>
      <c r="F145" s="36">
        <v>16</v>
      </c>
      <c r="G145" s="36" t="s">
        <v>28</v>
      </c>
      <c r="H145" s="36" t="s">
        <v>28</v>
      </c>
      <c r="I145" s="36" t="s">
        <v>28</v>
      </c>
      <c r="J145" s="36">
        <v>11</v>
      </c>
      <c r="K145" s="36">
        <v>300</v>
      </c>
      <c r="L145" s="36">
        <v>432</v>
      </c>
      <c r="M145" s="36">
        <v>626</v>
      </c>
      <c r="N145" s="36">
        <v>258</v>
      </c>
      <c r="O145" s="36">
        <v>695</v>
      </c>
      <c r="P145" s="36" t="s">
        <v>28</v>
      </c>
      <c r="Q145" s="36" t="s">
        <v>28</v>
      </c>
      <c r="R145" s="36" t="s">
        <v>28</v>
      </c>
      <c r="S145" s="36">
        <v>717</v>
      </c>
      <c r="T145" s="38">
        <v>16</v>
      </c>
      <c r="U145" s="38">
        <v>9.5</v>
      </c>
      <c r="V145" s="38">
        <v>14.2</v>
      </c>
      <c r="W145" s="38">
        <v>20.8</v>
      </c>
      <c r="X145" s="38">
        <v>23.5</v>
      </c>
      <c r="Y145" s="38" t="s">
        <v>28</v>
      </c>
      <c r="Z145" s="38" t="s">
        <v>28</v>
      </c>
      <c r="AA145" s="38">
        <v>19.3</v>
      </c>
      <c r="AB145" s="38">
        <v>15.7</v>
      </c>
    </row>
    <row r="146" spans="1:28" ht="15" customHeight="1" x14ac:dyDescent="0.25">
      <c r="A146" s="39" t="s">
        <v>173</v>
      </c>
      <c r="B146" s="36" t="s">
        <v>28</v>
      </c>
      <c r="C146" s="36" t="s">
        <v>28</v>
      </c>
      <c r="D146" s="36" t="s">
        <v>28</v>
      </c>
      <c r="E146" s="36" t="s">
        <v>28</v>
      </c>
      <c r="F146" s="36" t="s">
        <v>28</v>
      </c>
      <c r="G146" s="36" t="s">
        <v>28</v>
      </c>
      <c r="H146" s="36" t="s">
        <v>28</v>
      </c>
      <c r="I146" s="36" t="s">
        <v>28</v>
      </c>
      <c r="J146" s="36" t="s">
        <v>28</v>
      </c>
      <c r="K146" s="36" t="s">
        <v>28</v>
      </c>
      <c r="L146" s="36" t="s">
        <v>28</v>
      </c>
      <c r="M146" s="36" t="s">
        <v>28</v>
      </c>
      <c r="N146" s="36" t="s">
        <v>28</v>
      </c>
      <c r="O146" s="36" t="s">
        <v>28</v>
      </c>
      <c r="P146" s="36" t="s">
        <v>28</v>
      </c>
      <c r="Q146" s="36" t="s">
        <v>28</v>
      </c>
      <c r="R146" s="36" t="s">
        <v>28</v>
      </c>
      <c r="S146" s="36" t="s">
        <v>28</v>
      </c>
      <c r="T146" s="38" t="s">
        <v>28</v>
      </c>
      <c r="U146" s="38" t="s">
        <v>28</v>
      </c>
      <c r="V146" s="38" t="s">
        <v>28</v>
      </c>
      <c r="W146" s="38" t="s">
        <v>28</v>
      </c>
      <c r="X146" s="38" t="s">
        <v>28</v>
      </c>
      <c r="Y146" s="38" t="s">
        <v>28</v>
      </c>
      <c r="Z146" s="38" t="s">
        <v>28</v>
      </c>
      <c r="AA146" s="38" t="s">
        <v>28</v>
      </c>
      <c r="AB146" s="38" t="s">
        <v>28</v>
      </c>
    </row>
    <row r="147" spans="1:28" ht="15" customHeight="1" x14ac:dyDescent="0.25">
      <c r="A147" s="41" t="s">
        <v>218</v>
      </c>
      <c r="B147" s="36">
        <v>15</v>
      </c>
      <c r="C147" s="36">
        <v>51</v>
      </c>
      <c r="D147" s="36">
        <v>64</v>
      </c>
      <c r="E147" s="36">
        <v>26</v>
      </c>
      <c r="F147" s="36">
        <v>139</v>
      </c>
      <c r="G147" s="36">
        <v>25</v>
      </c>
      <c r="H147" s="36">
        <v>66</v>
      </c>
      <c r="I147" s="36">
        <v>31</v>
      </c>
      <c r="J147" s="36">
        <v>87</v>
      </c>
      <c r="K147" s="36">
        <v>1355</v>
      </c>
      <c r="L147" s="36">
        <v>3779</v>
      </c>
      <c r="M147" s="36">
        <v>5252</v>
      </c>
      <c r="N147" s="36">
        <v>2275</v>
      </c>
      <c r="O147" s="36">
        <v>8714</v>
      </c>
      <c r="P147" s="36">
        <v>1895</v>
      </c>
      <c r="Q147" s="36">
        <v>4603</v>
      </c>
      <c r="R147" s="36">
        <v>2239</v>
      </c>
      <c r="S147" s="36">
        <v>7192</v>
      </c>
      <c r="T147" s="38">
        <v>11.3</v>
      </c>
      <c r="U147" s="38">
        <v>13.5</v>
      </c>
      <c r="V147" s="38">
        <v>12.2</v>
      </c>
      <c r="W147" s="38">
        <v>11.5</v>
      </c>
      <c r="X147" s="38">
        <v>16</v>
      </c>
      <c r="Y147" s="38">
        <v>12.9</v>
      </c>
      <c r="Z147" s="38">
        <v>14.4</v>
      </c>
      <c r="AA147" s="38">
        <v>13.8</v>
      </c>
      <c r="AB147" s="38">
        <v>12.2</v>
      </c>
    </row>
    <row r="148" spans="1:28" ht="15" customHeight="1" x14ac:dyDescent="0.25">
      <c r="A148" s="41" t="s">
        <v>219</v>
      </c>
      <c r="B148" s="36">
        <v>3</v>
      </c>
      <c r="C148" s="36">
        <v>10</v>
      </c>
      <c r="D148" s="36">
        <v>11</v>
      </c>
      <c r="E148" s="36">
        <v>6</v>
      </c>
      <c r="F148" s="36" t="s">
        <v>28</v>
      </c>
      <c r="G148" s="36" t="s">
        <v>28</v>
      </c>
      <c r="H148" s="36">
        <v>10</v>
      </c>
      <c r="I148" s="36">
        <v>3</v>
      </c>
      <c r="J148" s="36" t="s">
        <v>28</v>
      </c>
      <c r="K148" s="36">
        <v>213</v>
      </c>
      <c r="L148" s="36">
        <v>685</v>
      </c>
      <c r="M148" s="36">
        <v>666</v>
      </c>
      <c r="N148" s="36">
        <v>310</v>
      </c>
      <c r="O148" s="36">
        <v>1711</v>
      </c>
      <c r="P148" s="36" t="s">
        <v>28</v>
      </c>
      <c r="Q148" s="36">
        <v>757</v>
      </c>
      <c r="R148" s="36">
        <v>327</v>
      </c>
      <c r="S148" s="36">
        <v>782</v>
      </c>
      <c r="T148" s="38" t="s">
        <v>28</v>
      </c>
      <c r="U148" s="38">
        <v>13.9</v>
      </c>
      <c r="V148" s="38">
        <v>16.7</v>
      </c>
      <c r="W148" s="38">
        <v>17.899999999999999</v>
      </c>
      <c r="X148" s="38">
        <v>17.2</v>
      </c>
      <c r="Y148" s="38" t="s">
        <v>28</v>
      </c>
      <c r="Z148" s="38">
        <v>13.7</v>
      </c>
      <c r="AA148" s="38">
        <v>10.6</v>
      </c>
      <c r="AB148" s="38">
        <v>18.100000000000001</v>
      </c>
    </row>
    <row r="149" spans="1:28" ht="33.950000000000003" customHeight="1" x14ac:dyDescent="0.25">
      <c r="A149" s="40" t="s">
        <v>220</v>
      </c>
      <c r="B149" s="45" t="s">
        <v>16</v>
      </c>
      <c r="C149" s="45" t="s">
        <v>16</v>
      </c>
      <c r="D149" s="45" t="s">
        <v>16</v>
      </c>
      <c r="E149" s="45" t="s">
        <v>16</v>
      </c>
      <c r="F149" s="45" t="s">
        <v>16</v>
      </c>
      <c r="G149" s="45" t="s">
        <v>16</v>
      </c>
      <c r="H149" s="45" t="s">
        <v>16</v>
      </c>
      <c r="I149" s="45" t="s">
        <v>16</v>
      </c>
      <c r="J149" s="45" t="s">
        <v>16</v>
      </c>
      <c r="K149" s="45" t="s">
        <v>16</v>
      </c>
      <c r="L149" s="45" t="s">
        <v>16</v>
      </c>
      <c r="M149" s="45" t="s">
        <v>16</v>
      </c>
      <c r="N149" s="45" t="s">
        <v>16</v>
      </c>
      <c r="O149" s="45" t="s">
        <v>16</v>
      </c>
      <c r="P149" s="45" t="s">
        <v>16</v>
      </c>
      <c r="Q149" s="45" t="s">
        <v>16</v>
      </c>
      <c r="R149" s="45" t="s">
        <v>16</v>
      </c>
      <c r="S149" s="45" t="s">
        <v>16</v>
      </c>
      <c r="T149" s="47" t="s">
        <v>16</v>
      </c>
      <c r="U149" s="47" t="s">
        <v>16</v>
      </c>
      <c r="V149" s="47" t="s">
        <v>16</v>
      </c>
      <c r="W149" s="47" t="s">
        <v>16</v>
      </c>
      <c r="X149" s="47" t="s">
        <v>16</v>
      </c>
      <c r="Y149" s="47" t="s">
        <v>16</v>
      </c>
      <c r="Z149" s="47" t="s">
        <v>16</v>
      </c>
      <c r="AA149" s="47" t="s">
        <v>16</v>
      </c>
      <c r="AB149" s="47" t="s">
        <v>16</v>
      </c>
    </row>
    <row r="150" spans="1:28" ht="15" customHeight="1" x14ac:dyDescent="0.25">
      <c r="A150" s="35" t="s">
        <v>221</v>
      </c>
      <c r="B150" s="42">
        <v>51</v>
      </c>
      <c r="C150" s="42">
        <v>170</v>
      </c>
      <c r="D150" s="42">
        <v>174</v>
      </c>
      <c r="E150" s="42">
        <v>75</v>
      </c>
      <c r="F150" s="42">
        <v>287</v>
      </c>
      <c r="G150" s="42">
        <v>71</v>
      </c>
      <c r="H150" s="42">
        <v>173</v>
      </c>
      <c r="I150" s="42">
        <v>67</v>
      </c>
      <c r="J150" s="42">
        <v>176</v>
      </c>
      <c r="K150" s="42">
        <v>4192</v>
      </c>
      <c r="L150" s="42">
        <v>11099</v>
      </c>
      <c r="M150" s="42">
        <v>12544</v>
      </c>
      <c r="N150" s="42">
        <v>6016</v>
      </c>
      <c r="O150" s="42">
        <v>17608</v>
      </c>
      <c r="P150" s="42">
        <v>4824</v>
      </c>
      <c r="Q150" s="42">
        <v>10594</v>
      </c>
      <c r="R150" s="42">
        <v>4812</v>
      </c>
      <c r="S150" s="42">
        <v>13180</v>
      </c>
      <c r="T150" s="44">
        <v>12.1</v>
      </c>
      <c r="U150" s="44">
        <v>15.3</v>
      </c>
      <c r="V150" s="44">
        <v>13.9</v>
      </c>
      <c r="W150" s="44">
        <v>12.5</v>
      </c>
      <c r="X150" s="44">
        <v>16.3</v>
      </c>
      <c r="Y150" s="44">
        <v>14.6</v>
      </c>
      <c r="Z150" s="44">
        <v>16.3</v>
      </c>
      <c r="AA150" s="44">
        <v>13.9</v>
      </c>
      <c r="AB150" s="44">
        <v>13.3</v>
      </c>
    </row>
    <row r="151" spans="1:28" ht="15" customHeight="1" x14ac:dyDescent="0.25">
      <c r="A151" s="41" t="s">
        <v>222</v>
      </c>
      <c r="B151" s="42">
        <v>30</v>
      </c>
      <c r="C151" s="42">
        <v>142</v>
      </c>
      <c r="D151" s="42">
        <v>151</v>
      </c>
      <c r="E151" s="42">
        <v>54</v>
      </c>
      <c r="F151" s="42">
        <v>176</v>
      </c>
      <c r="G151" s="42">
        <v>51</v>
      </c>
      <c r="H151" s="42">
        <v>108</v>
      </c>
      <c r="I151" s="42">
        <v>54</v>
      </c>
      <c r="J151" s="42">
        <v>138</v>
      </c>
      <c r="K151" s="42">
        <v>2241</v>
      </c>
      <c r="L151" s="42">
        <v>8827</v>
      </c>
      <c r="M151" s="42">
        <v>10790</v>
      </c>
      <c r="N151" s="42">
        <v>4236</v>
      </c>
      <c r="O151" s="42">
        <v>9984</v>
      </c>
      <c r="P151" s="42">
        <v>3436</v>
      </c>
      <c r="Q151" s="42">
        <v>6480</v>
      </c>
      <c r="R151" s="42">
        <v>3766</v>
      </c>
      <c r="S151" s="42">
        <v>8966</v>
      </c>
      <c r="T151" s="44">
        <v>13.5</v>
      </c>
      <c r="U151" s="44">
        <v>16.100000000000001</v>
      </c>
      <c r="V151" s="44">
        <v>14</v>
      </c>
      <c r="W151" s="44">
        <v>12.7</v>
      </c>
      <c r="X151" s="44">
        <v>17.600000000000001</v>
      </c>
      <c r="Y151" s="44">
        <v>14.9</v>
      </c>
      <c r="Z151" s="44">
        <v>16.7</v>
      </c>
      <c r="AA151" s="44">
        <v>14.2</v>
      </c>
      <c r="AB151" s="44">
        <v>15.4</v>
      </c>
    </row>
    <row r="152" spans="1:28" ht="15" customHeight="1" x14ac:dyDescent="0.25">
      <c r="A152" s="41" t="s">
        <v>223</v>
      </c>
      <c r="B152" s="42">
        <v>25</v>
      </c>
      <c r="C152" s="42">
        <v>71</v>
      </c>
      <c r="D152" s="42">
        <v>51</v>
      </c>
      <c r="E152" s="42">
        <v>22</v>
      </c>
      <c r="F152" s="42">
        <v>92</v>
      </c>
      <c r="G152" s="42">
        <v>16</v>
      </c>
      <c r="H152" s="42">
        <v>45</v>
      </c>
      <c r="I152" s="42">
        <v>19</v>
      </c>
      <c r="J152" s="42">
        <v>41</v>
      </c>
      <c r="K152" s="42">
        <v>1866</v>
      </c>
      <c r="L152" s="42">
        <v>4213</v>
      </c>
      <c r="M152" s="42">
        <v>2619</v>
      </c>
      <c r="N152" s="42">
        <v>1316</v>
      </c>
      <c r="O152" s="42">
        <v>4419</v>
      </c>
      <c r="P152" s="42">
        <v>797</v>
      </c>
      <c r="Q152" s="42">
        <v>1835</v>
      </c>
      <c r="R152" s="42">
        <v>1092</v>
      </c>
      <c r="S152" s="42">
        <v>2043</v>
      </c>
      <c r="T152" s="44">
        <v>13.3</v>
      </c>
      <c r="U152" s="44">
        <v>16.7</v>
      </c>
      <c r="V152" s="44">
        <v>19.600000000000001</v>
      </c>
      <c r="W152" s="44">
        <v>16.8</v>
      </c>
      <c r="X152" s="44">
        <v>20.7</v>
      </c>
      <c r="Y152" s="44">
        <v>19.8</v>
      </c>
      <c r="Z152" s="44">
        <v>24.8</v>
      </c>
      <c r="AA152" s="44">
        <v>17.399999999999999</v>
      </c>
      <c r="AB152" s="44">
        <v>20.2</v>
      </c>
    </row>
    <row r="153" spans="1:28" ht="15" customHeight="1" x14ac:dyDescent="0.25">
      <c r="A153" s="35" t="s">
        <v>224</v>
      </c>
      <c r="B153" s="42">
        <v>6</v>
      </c>
      <c r="C153" s="42">
        <v>31</v>
      </c>
      <c r="D153" s="42">
        <v>8</v>
      </c>
      <c r="E153" s="42">
        <v>6</v>
      </c>
      <c r="F153" s="42">
        <v>18</v>
      </c>
      <c r="G153" s="42">
        <v>5</v>
      </c>
      <c r="H153" s="42">
        <v>12</v>
      </c>
      <c r="I153" s="42" t="s">
        <v>28</v>
      </c>
      <c r="J153" s="42">
        <v>7</v>
      </c>
      <c r="K153" s="42" t="s">
        <v>28</v>
      </c>
      <c r="L153" s="42">
        <v>1628</v>
      </c>
      <c r="M153" s="42">
        <v>574</v>
      </c>
      <c r="N153" s="42">
        <v>332</v>
      </c>
      <c r="O153" s="42">
        <v>1159</v>
      </c>
      <c r="P153" s="42" t="s">
        <v>28</v>
      </c>
      <c r="Q153" s="42">
        <v>646</v>
      </c>
      <c r="R153" s="42">
        <v>482</v>
      </c>
      <c r="S153" s="42">
        <v>404</v>
      </c>
      <c r="T153" s="44">
        <v>17.3</v>
      </c>
      <c r="U153" s="44">
        <v>19</v>
      </c>
      <c r="V153" s="44">
        <v>14.5</v>
      </c>
      <c r="W153" s="44">
        <v>19.5</v>
      </c>
      <c r="X153" s="44">
        <v>15.8</v>
      </c>
      <c r="Y153" s="44" t="s">
        <v>28</v>
      </c>
      <c r="Z153" s="44">
        <v>19.100000000000001</v>
      </c>
      <c r="AA153" s="44">
        <v>19.2</v>
      </c>
      <c r="AB153" s="44">
        <v>17.3</v>
      </c>
    </row>
    <row r="154" spans="1:28" ht="15" customHeight="1" x14ac:dyDescent="0.25">
      <c r="A154" s="41" t="s">
        <v>225</v>
      </c>
      <c r="B154" s="42" t="s">
        <v>28</v>
      </c>
      <c r="C154" s="42" t="s">
        <v>28</v>
      </c>
      <c r="D154" s="42">
        <v>7</v>
      </c>
      <c r="E154" s="42" t="s">
        <v>28</v>
      </c>
      <c r="F154" s="42">
        <v>19</v>
      </c>
      <c r="G154" s="42">
        <v>6</v>
      </c>
      <c r="H154" s="42">
        <v>14</v>
      </c>
      <c r="I154" s="42" t="s">
        <v>28</v>
      </c>
      <c r="J154" s="42">
        <v>6</v>
      </c>
      <c r="K154" s="42" t="s">
        <v>28</v>
      </c>
      <c r="L154" s="42">
        <v>656</v>
      </c>
      <c r="M154" s="42">
        <v>420</v>
      </c>
      <c r="N154" s="42" t="s">
        <v>28</v>
      </c>
      <c r="O154" s="42">
        <v>1202</v>
      </c>
      <c r="P154" s="42" t="s">
        <v>28</v>
      </c>
      <c r="Q154" s="42">
        <v>773</v>
      </c>
      <c r="R154" s="42" t="s">
        <v>28</v>
      </c>
      <c r="S154" s="42">
        <v>329</v>
      </c>
      <c r="T154" s="44" t="s">
        <v>28</v>
      </c>
      <c r="U154" s="44">
        <v>29</v>
      </c>
      <c r="V154" s="44">
        <v>17.8</v>
      </c>
      <c r="W154" s="44" t="s">
        <v>28</v>
      </c>
      <c r="X154" s="44">
        <v>15.8</v>
      </c>
      <c r="Y154" s="44" t="s">
        <v>28</v>
      </c>
      <c r="Z154" s="44">
        <v>18.5</v>
      </c>
      <c r="AA154" s="44">
        <v>20.3</v>
      </c>
      <c r="AB154" s="44">
        <v>17</v>
      </c>
    </row>
    <row r="155" spans="1:28" ht="15" customHeight="1" x14ac:dyDescent="0.25">
      <c r="A155" s="41" t="s">
        <v>226</v>
      </c>
      <c r="B155" s="36">
        <v>11</v>
      </c>
      <c r="C155" s="36">
        <v>13</v>
      </c>
      <c r="D155" s="36">
        <v>13</v>
      </c>
      <c r="E155" s="36">
        <v>13</v>
      </c>
      <c r="F155" s="36">
        <v>20</v>
      </c>
      <c r="G155" s="36">
        <v>6</v>
      </c>
      <c r="H155" s="36">
        <v>16</v>
      </c>
      <c r="I155" s="36" t="s">
        <v>28</v>
      </c>
      <c r="J155" s="36">
        <v>11</v>
      </c>
      <c r="K155" s="36">
        <v>857</v>
      </c>
      <c r="L155" s="36">
        <v>885</v>
      </c>
      <c r="M155" s="36">
        <v>829</v>
      </c>
      <c r="N155" s="36">
        <v>1064</v>
      </c>
      <c r="O155" s="36">
        <v>1476</v>
      </c>
      <c r="P155" s="36">
        <v>470</v>
      </c>
      <c r="Q155" s="36">
        <v>621</v>
      </c>
      <c r="R155" s="36">
        <v>503</v>
      </c>
      <c r="S155" s="36">
        <v>982</v>
      </c>
      <c r="T155" s="38">
        <v>12.7</v>
      </c>
      <c r="U155" s="38">
        <v>14.4</v>
      </c>
      <c r="V155" s="38">
        <v>15.6</v>
      </c>
      <c r="W155" s="38">
        <v>12.2</v>
      </c>
      <c r="X155" s="38">
        <v>13.8</v>
      </c>
      <c r="Y155" s="38">
        <v>12.3</v>
      </c>
      <c r="Z155" s="38">
        <v>25.5</v>
      </c>
      <c r="AA155" s="38">
        <v>15.3</v>
      </c>
      <c r="AB155" s="38">
        <v>11.4</v>
      </c>
    </row>
    <row r="156" spans="1:28" ht="15" customHeight="1" x14ac:dyDescent="0.25">
      <c r="A156" s="41" t="s">
        <v>173</v>
      </c>
      <c r="B156" s="36">
        <v>4</v>
      </c>
      <c r="C156" s="36">
        <v>8</v>
      </c>
      <c r="D156" s="36">
        <v>5</v>
      </c>
      <c r="E156" s="36">
        <v>2</v>
      </c>
      <c r="F156" s="36">
        <v>9</v>
      </c>
      <c r="G156" s="36" t="s">
        <v>28</v>
      </c>
      <c r="H156" s="36" t="s">
        <v>28</v>
      </c>
      <c r="I156" s="36">
        <v>6</v>
      </c>
      <c r="J156" s="36">
        <v>8</v>
      </c>
      <c r="K156" s="36">
        <v>392</v>
      </c>
      <c r="L156" s="36">
        <v>686</v>
      </c>
      <c r="M156" s="36">
        <v>532</v>
      </c>
      <c r="N156" s="36">
        <v>251</v>
      </c>
      <c r="O156" s="36">
        <v>554</v>
      </c>
      <c r="P156" s="36" t="s">
        <v>28</v>
      </c>
      <c r="Q156" s="36" t="s">
        <v>28</v>
      </c>
      <c r="R156" s="36">
        <v>403</v>
      </c>
      <c r="S156" s="36">
        <v>631</v>
      </c>
      <c r="T156" s="38">
        <v>9.6</v>
      </c>
      <c r="U156" s="38">
        <v>11.4</v>
      </c>
      <c r="V156" s="38">
        <v>10.1</v>
      </c>
      <c r="W156" s="38">
        <v>9.5</v>
      </c>
      <c r="X156" s="38">
        <v>15.9</v>
      </c>
      <c r="Y156" s="38" t="s">
        <v>28</v>
      </c>
      <c r="Z156" s="38" t="s">
        <v>28</v>
      </c>
      <c r="AA156" s="38">
        <v>14.7</v>
      </c>
      <c r="AB156" s="38">
        <v>13.2</v>
      </c>
    </row>
    <row r="157" spans="1:28" ht="24" customHeight="1" x14ac:dyDescent="0.25">
      <c r="A157" s="40" t="s">
        <v>227</v>
      </c>
      <c r="B157" s="45" t="s">
        <v>16</v>
      </c>
      <c r="C157" s="45" t="s">
        <v>16</v>
      </c>
      <c r="D157" s="45" t="s">
        <v>16</v>
      </c>
      <c r="E157" s="45" t="s">
        <v>16</v>
      </c>
      <c r="F157" s="45" t="s">
        <v>16</v>
      </c>
      <c r="G157" s="45" t="s">
        <v>16</v>
      </c>
      <c r="H157" s="45" t="s">
        <v>16</v>
      </c>
      <c r="I157" s="45" t="s">
        <v>16</v>
      </c>
      <c r="J157" s="45" t="s">
        <v>16</v>
      </c>
      <c r="K157" s="45" t="s">
        <v>16</v>
      </c>
      <c r="L157" s="45" t="s">
        <v>16</v>
      </c>
      <c r="M157" s="45" t="s">
        <v>16</v>
      </c>
      <c r="N157" s="45" t="s">
        <v>16</v>
      </c>
      <c r="O157" s="45" t="s">
        <v>16</v>
      </c>
      <c r="P157" s="45" t="s">
        <v>16</v>
      </c>
      <c r="Q157" s="45" t="s">
        <v>16</v>
      </c>
      <c r="R157" s="45" t="s">
        <v>16</v>
      </c>
      <c r="S157" s="45" t="s">
        <v>16</v>
      </c>
      <c r="T157" s="47" t="s">
        <v>16</v>
      </c>
      <c r="U157" s="47" t="s">
        <v>16</v>
      </c>
      <c r="V157" s="47" t="s">
        <v>16</v>
      </c>
      <c r="W157" s="47" t="s">
        <v>16</v>
      </c>
      <c r="X157" s="47" t="s">
        <v>16</v>
      </c>
      <c r="Y157" s="47" t="s">
        <v>16</v>
      </c>
      <c r="Z157" s="47" t="s">
        <v>16</v>
      </c>
      <c r="AA157" s="47" t="s">
        <v>16</v>
      </c>
      <c r="AB157" s="47" t="s">
        <v>16</v>
      </c>
    </row>
    <row r="158" spans="1:28" ht="15" customHeight="1" x14ac:dyDescent="0.25">
      <c r="A158" s="35" t="s">
        <v>221</v>
      </c>
      <c r="B158" s="42">
        <v>28</v>
      </c>
      <c r="C158" s="42">
        <v>87</v>
      </c>
      <c r="D158" s="42">
        <v>90</v>
      </c>
      <c r="E158" s="42">
        <v>40</v>
      </c>
      <c r="F158" s="42">
        <v>214</v>
      </c>
      <c r="G158" s="42">
        <v>48</v>
      </c>
      <c r="H158" s="42">
        <v>121</v>
      </c>
      <c r="I158" s="42">
        <v>39</v>
      </c>
      <c r="J158" s="42">
        <v>108</v>
      </c>
      <c r="K158" s="42">
        <v>1848</v>
      </c>
      <c r="L158" s="42">
        <v>5428</v>
      </c>
      <c r="M158" s="42">
        <v>5687</v>
      </c>
      <c r="N158" s="42">
        <v>2951</v>
      </c>
      <c r="O158" s="42">
        <v>12514</v>
      </c>
      <c r="P158" s="42">
        <v>3170</v>
      </c>
      <c r="Q158" s="42">
        <v>6874</v>
      </c>
      <c r="R158" s="42">
        <v>2791</v>
      </c>
      <c r="S158" s="42">
        <v>7768</v>
      </c>
      <c r="T158" s="44">
        <v>15.2</v>
      </c>
      <c r="U158" s="44">
        <v>15.9</v>
      </c>
      <c r="V158" s="44">
        <v>15.7</v>
      </c>
      <c r="W158" s="44">
        <v>13.7</v>
      </c>
      <c r="X158" s="44">
        <v>17.100000000000001</v>
      </c>
      <c r="Y158" s="44">
        <v>15</v>
      </c>
      <c r="Z158" s="44">
        <v>17.7</v>
      </c>
      <c r="AA158" s="44">
        <v>13.8</v>
      </c>
      <c r="AB158" s="44">
        <v>13.9</v>
      </c>
    </row>
    <row r="159" spans="1:28" ht="15" customHeight="1" x14ac:dyDescent="0.25">
      <c r="A159" s="39" t="s">
        <v>228</v>
      </c>
      <c r="B159" s="42">
        <v>8</v>
      </c>
      <c r="C159" s="42">
        <v>32</v>
      </c>
      <c r="D159" s="42">
        <v>31</v>
      </c>
      <c r="E159" s="42">
        <v>18</v>
      </c>
      <c r="F159" s="42">
        <v>152</v>
      </c>
      <c r="G159" s="42">
        <v>31</v>
      </c>
      <c r="H159" s="42">
        <v>86</v>
      </c>
      <c r="I159" s="42">
        <v>18</v>
      </c>
      <c r="J159" s="42">
        <v>63</v>
      </c>
      <c r="K159" s="42">
        <v>468</v>
      </c>
      <c r="L159" s="42">
        <v>1720</v>
      </c>
      <c r="M159" s="42">
        <v>1702</v>
      </c>
      <c r="N159" s="42">
        <v>1281</v>
      </c>
      <c r="O159" s="42">
        <v>8533</v>
      </c>
      <c r="P159" s="42">
        <v>1982</v>
      </c>
      <c r="Q159" s="42">
        <v>4604</v>
      </c>
      <c r="R159" s="42">
        <v>1122</v>
      </c>
      <c r="S159" s="42">
        <v>4794</v>
      </c>
      <c r="T159" s="44">
        <v>17.100000000000001</v>
      </c>
      <c r="U159" s="44">
        <v>18.899999999999999</v>
      </c>
      <c r="V159" s="44">
        <v>17.899999999999999</v>
      </c>
      <c r="W159" s="44">
        <v>14.3</v>
      </c>
      <c r="X159" s="44">
        <v>17.8</v>
      </c>
      <c r="Y159" s="44">
        <v>15.6</v>
      </c>
      <c r="Z159" s="44">
        <v>18.8</v>
      </c>
      <c r="AA159" s="44">
        <v>15.9</v>
      </c>
      <c r="AB159" s="44">
        <v>13.1</v>
      </c>
    </row>
    <row r="160" spans="1:28" ht="15" customHeight="1" x14ac:dyDescent="0.25">
      <c r="A160" s="39" t="s">
        <v>229</v>
      </c>
      <c r="B160" s="42">
        <v>20</v>
      </c>
      <c r="C160" s="42">
        <v>54</v>
      </c>
      <c r="D160" s="42">
        <v>59</v>
      </c>
      <c r="E160" s="42">
        <v>22</v>
      </c>
      <c r="F160" s="42">
        <v>62</v>
      </c>
      <c r="G160" s="42">
        <v>17</v>
      </c>
      <c r="H160" s="42">
        <v>35</v>
      </c>
      <c r="I160" s="42">
        <v>21</v>
      </c>
      <c r="J160" s="42">
        <v>45</v>
      </c>
      <c r="K160" s="42">
        <v>1380</v>
      </c>
      <c r="L160" s="42">
        <v>3708</v>
      </c>
      <c r="M160" s="42">
        <v>3985</v>
      </c>
      <c r="N160" s="42">
        <v>1670</v>
      </c>
      <c r="O160" s="42">
        <v>3982</v>
      </c>
      <c r="P160" s="42">
        <v>1188</v>
      </c>
      <c r="Q160" s="42">
        <v>2270</v>
      </c>
      <c r="R160" s="42">
        <v>1668</v>
      </c>
      <c r="S160" s="42">
        <v>2974</v>
      </c>
      <c r="T160" s="44">
        <v>14.5</v>
      </c>
      <c r="U160" s="44">
        <v>14.6</v>
      </c>
      <c r="V160" s="44">
        <v>14.8</v>
      </c>
      <c r="W160" s="44">
        <v>13.1</v>
      </c>
      <c r="X160" s="44">
        <v>15.7</v>
      </c>
      <c r="Y160" s="44">
        <v>14.2</v>
      </c>
      <c r="Z160" s="44">
        <v>15.4</v>
      </c>
      <c r="AA160" s="44">
        <v>12.4</v>
      </c>
      <c r="AB160" s="44">
        <v>15</v>
      </c>
    </row>
    <row r="161" spans="1:28" ht="15" customHeight="1" x14ac:dyDescent="0.25">
      <c r="A161" s="35" t="s">
        <v>230</v>
      </c>
      <c r="B161" s="42">
        <v>22</v>
      </c>
      <c r="C161" s="42">
        <v>81</v>
      </c>
      <c r="D161" s="42">
        <v>84</v>
      </c>
      <c r="E161" s="42">
        <v>34</v>
      </c>
      <c r="F161" s="42">
        <v>47</v>
      </c>
      <c r="G161" s="42">
        <v>22</v>
      </c>
      <c r="H161" s="42">
        <v>47</v>
      </c>
      <c r="I161" s="42">
        <v>28</v>
      </c>
      <c r="J161" s="42">
        <v>59</v>
      </c>
      <c r="K161" s="42">
        <v>2237</v>
      </c>
      <c r="L161" s="42">
        <v>5531</v>
      </c>
      <c r="M161" s="42">
        <v>6553</v>
      </c>
      <c r="N161" s="42">
        <v>2849</v>
      </c>
      <c r="O161" s="42">
        <v>3369</v>
      </c>
      <c r="P161" s="42">
        <v>1523</v>
      </c>
      <c r="Q161" s="42">
        <v>3050</v>
      </c>
      <c r="R161" s="42">
        <v>1913</v>
      </c>
      <c r="S161" s="42">
        <v>3999</v>
      </c>
      <c r="T161" s="44">
        <v>9.8000000000000007</v>
      </c>
      <c r="U161" s="44">
        <v>14.7</v>
      </c>
      <c r="V161" s="44">
        <v>12.8</v>
      </c>
      <c r="W161" s="44">
        <v>11.9</v>
      </c>
      <c r="X161" s="44">
        <v>14</v>
      </c>
      <c r="Y161" s="44">
        <v>14.3</v>
      </c>
      <c r="Z161" s="44">
        <v>15.4</v>
      </c>
      <c r="AA161" s="44">
        <v>14.6</v>
      </c>
      <c r="AB161" s="44">
        <v>14.7</v>
      </c>
    </row>
    <row r="162" spans="1:28" ht="15" customHeight="1" x14ac:dyDescent="0.25">
      <c r="A162" s="41" t="s">
        <v>231</v>
      </c>
      <c r="B162" s="36" t="s">
        <v>28</v>
      </c>
      <c r="C162" s="36" t="s">
        <v>28</v>
      </c>
      <c r="D162" s="36" t="s">
        <v>28</v>
      </c>
      <c r="E162" s="36">
        <v>1</v>
      </c>
      <c r="F162" s="36">
        <v>25</v>
      </c>
      <c r="G162" s="36" t="s">
        <v>28</v>
      </c>
      <c r="H162" s="36">
        <v>4</v>
      </c>
      <c r="I162" s="36" t="s">
        <v>28</v>
      </c>
      <c r="J162" s="36">
        <v>9</v>
      </c>
      <c r="K162" s="36" t="s">
        <v>28</v>
      </c>
      <c r="L162" s="36" t="s">
        <v>28</v>
      </c>
      <c r="M162" s="36" t="s">
        <v>28</v>
      </c>
      <c r="N162" s="36">
        <v>217</v>
      </c>
      <c r="O162" s="36">
        <v>1724</v>
      </c>
      <c r="P162" s="36" t="s">
        <v>28</v>
      </c>
      <c r="Q162" s="36">
        <v>671</v>
      </c>
      <c r="R162" s="36" t="s">
        <v>28</v>
      </c>
      <c r="S162" s="36">
        <v>1413</v>
      </c>
      <c r="T162" s="38" t="s">
        <v>28</v>
      </c>
      <c r="U162" s="38" t="s">
        <v>28</v>
      </c>
      <c r="V162" s="38" t="s">
        <v>28</v>
      </c>
      <c r="W162" s="38">
        <v>3.3</v>
      </c>
      <c r="X162" s="38">
        <v>14.6</v>
      </c>
      <c r="Y162" s="38" t="s">
        <v>28</v>
      </c>
      <c r="Z162" s="38">
        <v>6.6</v>
      </c>
      <c r="AA162" s="38" t="s">
        <v>28</v>
      </c>
      <c r="AB162" s="38">
        <v>6.6</v>
      </c>
    </row>
    <row r="163" spans="1:28" ht="33.950000000000003" customHeight="1" x14ac:dyDescent="0.25">
      <c r="A163" s="40" t="s">
        <v>232</v>
      </c>
      <c r="B163" s="45" t="s">
        <v>16</v>
      </c>
      <c r="C163" s="45" t="s">
        <v>16</v>
      </c>
      <c r="D163" s="45" t="s">
        <v>16</v>
      </c>
      <c r="E163" s="45" t="s">
        <v>16</v>
      </c>
      <c r="F163" s="45" t="s">
        <v>16</v>
      </c>
      <c r="G163" s="45" t="s">
        <v>16</v>
      </c>
      <c r="H163" s="45" t="s">
        <v>16</v>
      </c>
      <c r="I163" s="45" t="s">
        <v>16</v>
      </c>
      <c r="J163" s="45" t="s">
        <v>16</v>
      </c>
      <c r="K163" s="45" t="s">
        <v>16</v>
      </c>
      <c r="L163" s="45" t="s">
        <v>16</v>
      </c>
      <c r="M163" s="45" t="s">
        <v>16</v>
      </c>
      <c r="N163" s="45" t="s">
        <v>16</v>
      </c>
      <c r="O163" s="45" t="s">
        <v>16</v>
      </c>
      <c r="P163" s="45" t="s">
        <v>16</v>
      </c>
      <c r="Q163" s="45" t="s">
        <v>16</v>
      </c>
      <c r="R163" s="45" t="s">
        <v>16</v>
      </c>
      <c r="S163" s="45" t="s">
        <v>16</v>
      </c>
      <c r="T163" s="47" t="s">
        <v>16</v>
      </c>
      <c r="U163" s="47" t="s">
        <v>16</v>
      </c>
      <c r="V163" s="47" t="s">
        <v>16</v>
      </c>
      <c r="W163" s="47" t="s">
        <v>16</v>
      </c>
      <c r="X163" s="47" t="s">
        <v>16</v>
      </c>
      <c r="Y163" s="47" t="s">
        <v>16</v>
      </c>
      <c r="Z163" s="47" t="s">
        <v>16</v>
      </c>
      <c r="AA163" s="47" t="s">
        <v>16</v>
      </c>
      <c r="AB163" s="47" t="s">
        <v>16</v>
      </c>
    </row>
    <row r="164" spans="1:28" ht="15" customHeight="1" x14ac:dyDescent="0.25">
      <c r="A164" s="35" t="s">
        <v>221</v>
      </c>
      <c r="B164" s="42">
        <v>8</v>
      </c>
      <c r="C164" s="42">
        <v>32</v>
      </c>
      <c r="D164" s="42">
        <v>31</v>
      </c>
      <c r="E164" s="42">
        <v>18</v>
      </c>
      <c r="F164" s="42">
        <v>152</v>
      </c>
      <c r="G164" s="42">
        <v>31</v>
      </c>
      <c r="H164" s="42">
        <v>86</v>
      </c>
      <c r="I164" s="42">
        <v>18</v>
      </c>
      <c r="J164" s="42">
        <v>63</v>
      </c>
      <c r="K164" s="42">
        <v>468</v>
      </c>
      <c r="L164" s="42">
        <v>1720</v>
      </c>
      <c r="M164" s="42">
        <v>1702</v>
      </c>
      <c r="N164" s="42">
        <v>1281</v>
      </c>
      <c r="O164" s="42">
        <v>8533</v>
      </c>
      <c r="P164" s="42">
        <v>1982</v>
      </c>
      <c r="Q164" s="42">
        <v>4604</v>
      </c>
      <c r="R164" s="42">
        <v>1122</v>
      </c>
      <c r="S164" s="42">
        <v>4794</v>
      </c>
      <c r="T164" s="44">
        <v>17.100000000000001</v>
      </c>
      <c r="U164" s="44">
        <v>18.899999999999999</v>
      </c>
      <c r="V164" s="44">
        <v>17.899999999999999</v>
      </c>
      <c r="W164" s="44">
        <v>14.3</v>
      </c>
      <c r="X164" s="44">
        <v>17.8</v>
      </c>
      <c r="Y164" s="44">
        <v>15.6</v>
      </c>
      <c r="Z164" s="44">
        <v>18.8</v>
      </c>
      <c r="AA164" s="44">
        <v>15.9</v>
      </c>
      <c r="AB164" s="44">
        <v>13.1</v>
      </c>
    </row>
    <row r="165" spans="1:28" ht="15" customHeight="1" x14ac:dyDescent="0.25">
      <c r="A165" s="41" t="s">
        <v>222</v>
      </c>
      <c r="B165" s="42">
        <v>23</v>
      </c>
      <c r="C165" s="42">
        <v>96</v>
      </c>
      <c r="D165" s="42">
        <v>130</v>
      </c>
      <c r="E165" s="42">
        <v>42</v>
      </c>
      <c r="F165" s="42">
        <v>87</v>
      </c>
      <c r="G165" s="42">
        <v>32</v>
      </c>
      <c r="H165" s="42">
        <v>67</v>
      </c>
      <c r="I165" s="42">
        <v>38</v>
      </c>
      <c r="J165" s="42">
        <v>95</v>
      </c>
      <c r="K165" s="42">
        <v>1811</v>
      </c>
      <c r="L165" s="42">
        <v>6555</v>
      </c>
      <c r="M165" s="42">
        <v>9587</v>
      </c>
      <c r="N165" s="42">
        <v>3497</v>
      </c>
      <c r="O165" s="42">
        <v>5694</v>
      </c>
      <c r="P165" s="42">
        <v>2067</v>
      </c>
      <c r="Q165" s="42">
        <v>4551</v>
      </c>
      <c r="R165" s="42">
        <v>2893</v>
      </c>
      <c r="S165" s="42">
        <v>6333</v>
      </c>
      <c r="T165" s="44">
        <v>12.8</v>
      </c>
      <c r="U165" s="44">
        <v>14.7</v>
      </c>
      <c r="V165" s="44">
        <v>13.6</v>
      </c>
      <c r="W165" s="44">
        <v>12.1</v>
      </c>
      <c r="X165" s="44">
        <v>15.4</v>
      </c>
      <c r="Y165" s="44">
        <v>15.3</v>
      </c>
      <c r="Z165" s="44">
        <v>14.7</v>
      </c>
      <c r="AA165" s="44">
        <v>13</v>
      </c>
      <c r="AB165" s="44">
        <v>15</v>
      </c>
    </row>
    <row r="166" spans="1:28" ht="15" customHeight="1" x14ac:dyDescent="0.25">
      <c r="A166" s="41" t="s">
        <v>223</v>
      </c>
      <c r="B166" s="42">
        <v>10</v>
      </c>
      <c r="C166" s="42">
        <v>7</v>
      </c>
      <c r="D166" s="42" t="s">
        <v>28</v>
      </c>
      <c r="E166" s="42" t="s">
        <v>28</v>
      </c>
      <c r="F166" s="42">
        <v>2</v>
      </c>
      <c r="G166" s="42" t="s">
        <v>28</v>
      </c>
      <c r="H166" s="42" t="s">
        <v>28</v>
      </c>
      <c r="I166" s="42" t="s">
        <v>28</v>
      </c>
      <c r="J166" s="42" t="s">
        <v>28</v>
      </c>
      <c r="K166" s="42">
        <v>1099</v>
      </c>
      <c r="L166" s="42">
        <v>889</v>
      </c>
      <c r="M166" s="42" t="s">
        <v>28</v>
      </c>
      <c r="N166" s="42" t="s">
        <v>28</v>
      </c>
      <c r="O166" s="42">
        <v>245</v>
      </c>
      <c r="P166" s="42" t="s">
        <v>28</v>
      </c>
      <c r="Q166" s="42" t="s">
        <v>28</v>
      </c>
      <c r="R166" s="42" t="s">
        <v>28</v>
      </c>
      <c r="S166" s="42" t="s">
        <v>28</v>
      </c>
      <c r="T166" s="44">
        <v>8.9</v>
      </c>
      <c r="U166" s="44">
        <v>7.9</v>
      </c>
      <c r="V166" s="44" t="s">
        <v>28</v>
      </c>
      <c r="W166" s="44" t="s">
        <v>28</v>
      </c>
      <c r="X166" s="44">
        <v>9.6</v>
      </c>
      <c r="Y166" s="44" t="s">
        <v>28</v>
      </c>
      <c r="Z166" s="44" t="s">
        <v>28</v>
      </c>
      <c r="AA166" s="44" t="s">
        <v>28</v>
      </c>
      <c r="AB166" s="44" t="s">
        <v>28</v>
      </c>
    </row>
    <row r="167" spans="1:28" ht="15" customHeight="1" x14ac:dyDescent="0.25">
      <c r="A167" s="35" t="s">
        <v>224</v>
      </c>
      <c r="B167" s="42">
        <v>6</v>
      </c>
      <c r="C167" s="42">
        <v>30</v>
      </c>
      <c r="D167" s="42">
        <v>8</v>
      </c>
      <c r="E167" s="42">
        <v>6</v>
      </c>
      <c r="F167" s="42">
        <v>18</v>
      </c>
      <c r="G167" s="42">
        <v>5</v>
      </c>
      <c r="H167" s="42">
        <v>12</v>
      </c>
      <c r="I167" s="42" t="s">
        <v>28</v>
      </c>
      <c r="J167" s="42">
        <v>7</v>
      </c>
      <c r="K167" s="42" t="s">
        <v>28</v>
      </c>
      <c r="L167" s="42">
        <v>1601</v>
      </c>
      <c r="M167" s="42">
        <v>532</v>
      </c>
      <c r="N167" s="42">
        <v>332</v>
      </c>
      <c r="O167" s="42">
        <v>1089</v>
      </c>
      <c r="P167" s="42" t="s">
        <v>28</v>
      </c>
      <c r="Q167" s="42">
        <v>637</v>
      </c>
      <c r="R167" s="42">
        <v>482</v>
      </c>
      <c r="S167" s="42">
        <v>385</v>
      </c>
      <c r="T167" s="44">
        <v>17.3</v>
      </c>
      <c r="U167" s="44">
        <v>19</v>
      </c>
      <c r="V167" s="44">
        <v>14.4</v>
      </c>
      <c r="W167" s="44">
        <v>19.5</v>
      </c>
      <c r="X167" s="44">
        <v>16.100000000000001</v>
      </c>
      <c r="Y167" s="44" t="s">
        <v>28</v>
      </c>
      <c r="Z167" s="44">
        <v>19.2</v>
      </c>
      <c r="AA167" s="44">
        <v>19.2</v>
      </c>
      <c r="AB167" s="44">
        <v>17.399999999999999</v>
      </c>
    </row>
    <row r="168" spans="1:28" ht="15" customHeight="1" x14ac:dyDescent="0.25">
      <c r="A168" s="41" t="s">
        <v>226</v>
      </c>
      <c r="B168" s="36">
        <v>2</v>
      </c>
      <c r="C168" s="36" t="s">
        <v>28</v>
      </c>
      <c r="D168" s="36" t="s">
        <v>28</v>
      </c>
      <c r="E168" s="36">
        <v>6</v>
      </c>
      <c r="F168" s="36">
        <v>2</v>
      </c>
      <c r="G168" s="36" t="s">
        <v>28</v>
      </c>
      <c r="H168" s="36" t="s">
        <v>28</v>
      </c>
      <c r="I168" s="36" t="s">
        <v>28</v>
      </c>
      <c r="J168" s="36" t="s">
        <v>28</v>
      </c>
      <c r="K168" s="36">
        <v>204</v>
      </c>
      <c r="L168" s="36" t="s">
        <v>28</v>
      </c>
      <c r="M168" s="36" t="s">
        <v>28</v>
      </c>
      <c r="N168" s="36">
        <v>517</v>
      </c>
      <c r="O168" s="36">
        <v>307</v>
      </c>
      <c r="P168" s="36">
        <v>193</v>
      </c>
      <c r="Q168" s="36" t="s">
        <v>28</v>
      </c>
      <c r="R168" s="36" t="s">
        <v>28</v>
      </c>
      <c r="S168" s="36" t="s">
        <v>28</v>
      </c>
      <c r="T168" s="38">
        <v>8.9</v>
      </c>
      <c r="U168" s="38" t="s">
        <v>28</v>
      </c>
      <c r="V168" s="38" t="s">
        <v>28</v>
      </c>
      <c r="W168" s="38">
        <v>11.3</v>
      </c>
      <c r="X168" s="38">
        <v>7</v>
      </c>
      <c r="Y168" s="38" t="s">
        <v>28</v>
      </c>
      <c r="Z168" s="38" t="s">
        <v>28</v>
      </c>
      <c r="AA168" s="38" t="s">
        <v>28</v>
      </c>
      <c r="AB168" s="38" t="s">
        <v>28</v>
      </c>
    </row>
    <row r="169" spans="1:28" ht="15" customHeight="1" x14ac:dyDescent="0.25">
      <c r="A169" s="41" t="s">
        <v>173</v>
      </c>
      <c r="B169" s="36" t="s">
        <v>28</v>
      </c>
      <c r="C169" s="36" t="s">
        <v>28</v>
      </c>
      <c r="D169" s="36" t="s">
        <v>28</v>
      </c>
      <c r="E169" s="36" t="s">
        <v>28</v>
      </c>
      <c r="F169" s="36" t="s">
        <v>28</v>
      </c>
      <c r="G169" s="36" t="s">
        <v>28</v>
      </c>
      <c r="H169" s="36" t="s">
        <v>28</v>
      </c>
      <c r="I169" s="36" t="s">
        <v>28</v>
      </c>
      <c r="J169" s="36" t="s">
        <v>28</v>
      </c>
      <c r="K169" s="36" t="s">
        <v>28</v>
      </c>
      <c r="L169" s="36" t="s">
        <v>28</v>
      </c>
      <c r="M169" s="36" t="s">
        <v>28</v>
      </c>
      <c r="N169" s="36" t="s">
        <v>28</v>
      </c>
      <c r="O169" s="36" t="s">
        <v>28</v>
      </c>
      <c r="P169" s="36" t="s">
        <v>28</v>
      </c>
      <c r="Q169" s="36" t="s">
        <v>28</v>
      </c>
      <c r="R169" s="36" t="s">
        <v>28</v>
      </c>
      <c r="S169" s="36" t="s">
        <v>28</v>
      </c>
      <c r="T169" s="38" t="s">
        <v>28</v>
      </c>
      <c r="U169" s="38" t="s">
        <v>28</v>
      </c>
      <c r="V169" s="38" t="s">
        <v>28</v>
      </c>
      <c r="W169" s="38" t="s">
        <v>28</v>
      </c>
      <c r="X169" s="38" t="s">
        <v>28</v>
      </c>
      <c r="Y169" s="38" t="s">
        <v>28</v>
      </c>
      <c r="Z169" s="38" t="s">
        <v>28</v>
      </c>
      <c r="AA169" s="38" t="s">
        <v>28</v>
      </c>
      <c r="AB169" s="38" t="s">
        <v>28</v>
      </c>
    </row>
    <row r="170" spans="1:28" ht="24" customHeight="1" x14ac:dyDescent="0.25">
      <c r="A170" s="40" t="s">
        <v>233</v>
      </c>
      <c r="B170" s="45" t="s">
        <v>16</v>
      </c>
      <c r="C170" s="45" t="s">
        <v>16</v>
      </c>
      <c r="D170" s="45" t="s">
        <v>16</v>
      </c>
      <c r="E170" s="45" t="s">
        <v>16</v>
      </c>
      <c r="F170" s="45" t="s">
        <v>16</v>
      </c>
      <c r="G170" s="45" t="s">
        <v>16</v>
      </c>
      <c r="H170" s="45" t="s">
        <v>16</v>
      </c>
      <c r="I170" s="45" t="s">
        <v>16</v>
      </c>
      <c r="J170" s="45" t="s">
        <v>16</v>
      </c>
      <c r="K170" s="45" t="s">
        <v>16</v>
      </c>
      <c r="L170" s="45" t="s">
        <v>16</v>
      </c>
      <c r="M170" s="45" t="s">
        <v>16</v>
      </c>
      <c r="N170" s="45" t="s">
        <v>16</v>
      </c>
      <c r="O170" s="45" t="s">
        <v>16</v>
      </c>
      <c r="P170" s="45" t="s">
        <v>16</v>
      </c>
      <c r="Q170" s="45" t="s">
        <v>16</v>
      </c>
      <c r="R170" s="45" t="s">
        <v>16</v>
      </c>
      <c r="S170" s="45" t="s">
        <v>16</v>
      </c>
      <c r="T170" s="47" t="s">
        <v>16</v>
      </c>
      <c r="U170" s="47" t="s">
        <v>16</v>
      </c>
      <c r="V170" s="47" t="s">
        <v>16</v>
      </c>
      <c r="W170" s="47" t="s">
        <v>16</v>
      </c>
      <c r="X170" s="47" t="s">
        <v>16</v>
      </c>
      <c r="Y170" s="47" t="s">
        <v>16</v>
      </c>
      <c r="Z170" s="47" t="s">
        <v>16</v>
      </c>
      <c r="AA170" s="47" t="s">
        <v>16</v>
      </c>
      <c r="AB170" s="47" t="s">
        <v>16</v>
      </c>
    </row>
    <row r="171" spans="1:28" ht="15" customHeight="1" x14ac:dyDescent="0.25">
      <c r="A171" s="35" t="s">
        <v>221</v>
      </c>
      <c r="B171" s="42">
        <v>45</v>
      </c>
      <c r="C171" s="42">
        <v>152</v>
      </c>
      <c r="D171" s="42">
        <v>168</v>
      </c>
      <c r="E171" s="42">
        <v>71</v>
      </c>
      <c r="F171" s="42">
        <v>274</v>
      </c>
      <c r="G171" s="42">
        <v>66</v>
      </c>
      <c r="H171" s="42">
        <v>159</v>
      </c>
      <c r="I171" s="42">
        <v>59</v>
      </c>
      <c r="J171" s="42">
        <v>165</v>
      </c>
      <c r="K171" s="42">
        <v>3317</v>
      </c>
      <c r="L171" s="42">
        <v>9986</v>
      </c>
      <c r="M171" s="42">
        <v>11474</v>
      </c>
      <c r="N171" s="42">
        <v>5352</v>
      </c>
      <c r="O171" s="42">
        <v>16368</v>
      </c>
      <c r="P171" s="42">
        <v>4307</v>
      </c>
      <c r="Q171" s="42">
        <v>9275</v>
      </c>
      <c r="R171" s="42">
        <v>4205</v>
      </c>
      <c r="S171" s="42">
        <v>11749</v>
      </c>
      <c r="T171" s="44">
        <v>13.5</v>
      </c>
      <c r="U171" s="44">
        <v>15.2</v>
      </c>
      <c r="V171" s="44">
        <v>14.7</v>
      </c>
      <c r="W171" s="44">
        <v>13.2</v>
      </c>
      <c r="X171" s="44">
        <v>16.7</v>
      </c>
      <c r="Y171" s="44">
        <v>15.3</v>
      </c>
      <c r="Z171" s="44">
        <v>17.2</v>
      </c>
      <c r="AA171" s="44">
        <v>14.1</v>
      </c>
      <c r="AB171" s="44">
        <v>14</v>
      </c>
    </row>
    <row r="172" spans="1:28" ht="15" customHeight="1" x14ac:dyDescent="0.25">
      <c r="A172" s="41" t="s">
        <v>230</v>
      </c>
      <c r="B172" s="42" t="s">
        <v>28</v>
      </c>
      <c r="C172" s="42" t="s">
        <v>28</v>
      </c>
      <c r="D172" s="42" t="s">
        <v>28</v>
      </c>
      <c r="E172" s="42" t="s">
        <v>28</v>
      </c>
      <c r="F172" s="42">
        <v>10</v>
      </c>
      <c r="G172" s="42" t="s">
        <v>28</v>
      </c>
      <c r="H172" s="42">
        <v>11</v>
      </c>
      <c r="I172" s="42" t="s">
        <v>28</v>
      </c>
      <c r="J172" s="42">
        <v>3</v>
      </c>
      <c r="K172" s="42" t="s">
        <v>28</v>
      </c>
      <c r="L172" s="42" t="s">
        <v>28</v>
      </c>
      <c r="M172" s="42" t="s">
        <v>28</v>
      </c>
      <c r="N172" s="42" t="s">
        <v>28</v>
      </c>
      <c r="O172" s="42">
        <v>726</v>
      </c>
      <c r="P172" s="42" t="s">
        <v>28</v>
      </c>
      <c r="Q172" s="42">
        <v>655</v>
      </c>
      <c r="R172" s="42" t="s">
        <v>28</v>
      </c>
      <c r="S172" s="42">
        <v>228</v>
      </c>
      <c r="T172" s="44" t="s">
        <v>28</v>
      </c>
      <c r="U172" s="44">
        <v>29.6</v>
      </c>
      <c r="V172" s="44" t="s">
        <v>28</v>
      </c>
      <c r="W172" s="44" t="s">
        <v>28</v>
      </c>
      <c r="X172" s="44">
        <v>14.4</v>
      </c>
      <c r="Y172" s="44" t="s">
        <v>28</v>
      </c>
      <c r="Z172" s="44">
        <v>17.100000000000001</v>
      </c>
      <c r="AA172" s="44" t="s">
        <v>28</v>
      </c>
      <c r="AB172" s="44">
        <v>14.5</v>
      </c>
    </row>
    <row r="173" spans="1:28" ht="15" customHeight="1" x14ac:dyDescent="0.25">
      <c r="A173" s="41" t="s">
        <v>234</v>
      </c>
      <c r="B173" s="42">
        <v>3</v>
      </c>
      <c r="C173" s="42">
        <v>3</v>
      </c>
      <c r="D173" s="42">
        <v>4</v>
      </c>
      <c r="E173" s="42">
        <v>2</v>
      </c>
      <c r="F173" s="42">
        <v>3</v>
      </c>
      <c r="G173" s="42" t="s">
        <v>28</v>
      </c>
      <c r="H173" s="42">
        <v>3</v>
      </c>
      <c r="I173" s="42">
        <v>2</v>
      </c>
      <c r="J173" s="42">
        <v>8</v>
      </c>
      <c r="K173" s="42" t="s">
        <v>28</v>
      </c>
      <c r="L173" s="42">
        <v>632</v>
      </c>
      <c r="M173" s="42">
        <v>869</v>
      </c>
      <c r="N173" s="42">
        <v>548</v>
      </c>
      <c r="O173" s="42">
        <v>514</v>
      </c>
      <c r="P173" s="42" t="s">
        <v>28</v>
      </c>
      <c r="Q173" s="42">
        <v>663</v>
      </c>
      <c r="R173" s="42">
        <v>323</v>
      </c>
      <c r="S173" s="42">
        <v>1202</v>
      </c>
      <c r="T173" s="44">
        <v>4.3</v>
      </c>
      <c r="U173" s="44">
        <v>5.5</v>
      </c>
      <c r="V173" s="44">
        <v>4.0999999999999996</v>
      </c>
      <c r="W173" s="44">
        <v>3.8</v>
      </c>
      <c r="X173" s="44">
        <v>5</v>
      </c>
      <c r="Y173" s="44" t="s">
        <v>28</v>
      </c>
      <c r="Z173" s="44">
        <v>3.9</v>
      </c>
      <c r="AA173" s="44">
        <v>4.9000000000000004</v>
      </c>
      <c r="AB173" s="44">
        <v>6.5</v>
      </c>
    </row>
    <row r="174" spans="1:28" ht="24" customHeight="1" x14ac:dyDescent="0.25">
      <c r="A174" s="40" t="s">
        <v>235</v>
      </c>
      <c r="B174" s="45" t="s">
        <v>16</v>
      </c>
      <c r="C174" s="45" t="s">
        <v>16</v>
      </c>
      <c r="D174" s="45" t="s">
        <v>16</v>
      </c>
      <c r="E174" s="45" t="s">
        <v>16</v>
      </c>
      <c r="F174" s="45" t="s">
        <v>16</v>
      </c>
      <c r="G174" s="45" t="s">
        <v>16</v>
      </c>
      <c r="H174" s="45" t="s">
        <v>16</v>
      </c>
      <c r="I174" s="45" t="s">
        <v>16</v>
      </c>
      <c r="J174" s="45" t="s">
        <v>16</v>
      </c>
      <c r="K174" s="45" t="s">
        <v>16</v>
      </c>
      <c r="L174" s="45" t="s">
        <v>16</v>
      </c>
      <c r="M174" s="45" t="s">
        <v>16</v>
      </c>
      <c r="N174" s="45" t="s">
        <v>16</v>
      </c>
      <c r="O174" s="45" t="s">
        <v>16</v>
      </c>
      <c r="P174" s="45" t="s">
        <v>16</v>
      </c>
      <c r="Q174" s="45" t="s">
        <v>16</v>
      </c>
      <c r="R174" s="45" t="s">
        <v>16</v>
      </c>
      <c r="S174" s="45" t="s">
        <v>16</v>
      </c>
      <c r="T174" s="47" t="s">
        <v>16</v>
      </c>
      <c r="U174" s="47" t="s">
        <v>16</v>
      </c>
      <c r="V174" s="47" t="s">
        <v>16</v>
      </c>
      <c r="W174" s="47" t="s">
        <v>16</v>
      </c>
      <c r="X174" s="47" t="s">
        <v>16</v>
      </c>
      <c r="Y174" s="47" t="s">
        <v>16</v>
      </c>
      <c r="Z174" s="47" t="s">
        <v>16</v>
      </c>
      <c r="AA174" s="47" t="s">
        <v>16</v>
      </c>
      <c r="AB174" s="47" t="s">
        <v>16</v>
      </c>
    </row>
    <row r="175" spans="1:28" ht="15" customHeight="1" x14ac:dyDescent="0.25">
      <c r="A175" s="35" t="s">
        <v>221</v>
      </c>
      <c r="B175" s="42">
        <v>24</v>
      </c>
      <c r="C175" s="42">
        <v>73</v>
      </c>
      <c r="D175" s="42">
        <v>74</v>
      </c>
      <c r="E175" s="42">
        <v>36</v>
      </c>
      <c r="F175" s="42">
        <v>182</v>
      </c>
      <c r="G175" s="42">
        <v>41</v>
      </c>
      <c r="H175" s="42">
        <v>98</v>
      </c>
      <c r="I175" s="42">
        <v>29</v>
      </c>
      <c r="J175" s="42">
        <v>92</v>
      </c>
      <c r="K175" s="42">
        <v>1939</v>
      </c>
      <c r="L175" s="42">
        <v>4622</v>
      </c>
      <c r="M175" s="42">
        <v>4914</v>
      </c>
      <c r="N175" s="42">
        <v>3020</v>
      </c>
      <c r="O175" s="42">
        <v>11163</v>
      </c>
      <c r="P175" s="42">
        <v>2900</v>
      </c>
      <c r="Q175" s="42">
        <v>5386</v>
      </c>
      <c r="R175" s="42">
        <v>2000</v>
      </c>
      <c r="S175" s="42">
        <v>6810</v>
      </c>
      <c r="T175" s="44">
        <v>12.3</v>
      </c>
      <c r="U175" s="44">
        <v>15.7</v>
      </c>
      <c r="V175" s="44">
        <v>15.2</v>
      </c>
      <c r="W175" s="44">
        <v>12.1</v>
      </c>
      <c r="X175" s="44">
        <v>16.3</v>
      </c>
      <c r="Y175" s="44">
        <v>14</v>
      </c>
      <c r="Z175" s="44">
        <v>18.100000000000001</v>
      </c>
      <c r="AA175" s="44">
        <v>14.3</v>
      </c>
      <c r="AB175" s="44">
        <v>13.5</v>
      </c>
    </row>
    <row r="176" spans="1:28" ht="15" customHeight="1" x14ac:dyDescent="0.25">
      <c r="A176" s="41" t="s">
        <v>230</v>
      </c>
      <c r="B176" s="42">
        <v>26</v>
      </c>
      <c r="C176" s="42">
        <v>95</v>
      </c>
      <c r="D176" s="42">
        <v>98</v>
      </c>
      <c r="E176" s="42">
        <v>36</v>
      </c>
      <c r="F176" s="42">
        <v>94</v>
      </c>
      <c r="G176" s="42">
        <v>28</v>
      </c>
      <c r="H176" s="42">
        <v>69</v>
      </c>
      <c r="I176" s="42">
        <v>36</v>
      </c>
      <c r="J176" s="42">
        <v>78</v>
      </c>
      <c r="K176" s="42">
        <v>1976</v>
      </c>
      <c r="L176" s="42">
        <v>6096</v>
      </c>
      <c r="M176" s="42">
        <v>7168</v>
      </c>
      <c r="N176" s="42">
        <v>2490</v>
      </c>
      <c r="O176" s="42">
        <v>4981</v>
      </c>
      <c r="P176" s="42">
        <v>1698</v>
      </c>
      <c r="Q176" s="42">
        <v>4133</v>
      </c>
      <c r="R176" s="42">
        <v>2440</v>
      </c>
      <c r="S176" s="42">
        <v>5279</v>
      </c>
      <c r="T176" s="44">
        <v>13.1</v>
      </c>
      <c r="U176" s="44">
        <v>15.6</v>
      </c>
      <c r="V176" s="44">
        <v>13.7</v>
      </c>
      <c r="W176" s="44">
        <v>14.4</v>
      </c>
      <c r="X176" s="44">
        <v>18.899999999999999</v>
      </c>
      <c r="Y176" s="44">
        <v>16.600000000000001</v>
      </c>
      <c r="Z176" s="44">
        <v>16.8</v>
      </c>
      <c r="AA176" s="44">
        <v>14.8</v>
      </c>
      <c r="AB176" s="44">
        <v>14.7</v>
      </c>
    </row>
    <row r="177" spans="1:28" ht="15" customHeight="1" x14ac:dyDescent="0.25">
      <c r="A177" s="41" t="s">
        <v>236</v>
      </c>
      <c r="B177" s="42">
        <v>1</v>
      </c>
      <c r="C177" s="42" t="s">
        <v>28</v>
      </c>
      <c r="D177" s="42">
        <v>2</v>
      </c>
      <c r="E177" s="42">
        <v>3</v>
      </c>
      <c r="F177" s="42">
        <v>10</v>
      </c>
      <c r="G177" s="42">
        <v>2</v>
      </c>
      <c r="H177" s="42">
        <v>6</v>
      </c>
      <c r="I177" s="42">
        <v>2</v>
      </c>
      <c r="J177" s="42">
        <v>6</v>
      </c>
      <c r="K177" s="42">
        <v>277</v>
      </c>
      <c r="L177" s="42">
        <v>382</v>
      </c>
      <c r="M177" s="42">
        <v>462</v>
      </c>
      <c r="N177" s="42">
        <v>506</v>
      </c>
      <c r="O177" s="42">
        <v>1463</v>
      </c>
      <c r="P177" s="42">
        <v>226</v>
      </c>
      <c r="Q177" s="42">
        <v>1075</v>
      </c>
      <c r="R177" s="42">
        <v>372</v>
      </c>
      <c r="S177" s="42">
        <v>1091</v>
      </c>
      <c r="T177" s="44">
        <v>2.5</v>
      </c>
      <c r="U177" s="44">
        <v>4.5</v>
      </c>
      <c r="V177" s="44">
        <v>4.0999999999999996</v>
      </c>
      <c r="W177" s="44">
        <v>5</v>
      </c>
      <c r="X177" s="44">
        <v>7</v>
      </c>
      <c r="Y177" s="44">
        <v>8.1</v>
      </c>
      <c r="Z177" s="44">
        <v>5.6</v>
      </c>
      <c r="AA177" s="44">
        <v>6.3</v>
      </c>
      <c r="AB177" s="44">
        <v>5.6</v>
      </c>
    </row>
    <row r="178" spans="1:28" ht="24" customHeight="1" x14ac:dyDescent="0.25">
      <c r="A178" s="40" t="s">
        <v>237</v>
      </c>
      <c r="B178" s="45" t="s">
        <v>16</v>
      </c>
      <c r="C178" s="45" t="s">
        <v>16</v>
      </c>
      <c r="D178" s="45" t="s">
        <v>16</v>
      </c>
      <c r="E178" s="45" t="s">
        <v>16</v>
      </c>
      <c r="F178" s="45" t="s">
        <v>16</v>
      </c>
      <c r="G178" s="45" t="s">
        <v>16</v>
      </c>
      <c r="H178" s="45" t="s">
        <v>16</v>
      </c>
      <c r="I178" s="45" t="s">
        <v>16</v>
      </c>
      <c r="J178" s="45" t="s">
        <v>16</v>
      </c>
      <c r="K178" s="45" t="s">
        <v>16</v>
      </c>
      <c r="L178" s="45" t="s">
        <v>16</v>
      </c>
      <c r="M178" s="45" t="s">
        <v>16</v>
      </c>
      <c r="N178" s="45" t="s">
        <v>16</v>
      </c>
      <c r="O178" s="45" t="s">
        <v>16</v>
      </c>
      <c r="P178" s="45" t="s">
        <v>16</v>
      </c>
      <c r="Q178" s="45" t="s">
        <v>16</v>
      </c>
      <c r="R178" s="45" t="s">
        <v>16</v>
      </c>
      <c r="S178" s="45" t="s">
        <v>16</v>
      </c>
      <c r="T178" s="47" t="s">
        <v>16</v>
      </c>
      <c r="U178" s="47" t="s">
        <v>16</v>
      </c>
      <c r="V178" s="47" t="s">
        <v>16</v>
      </c>
      <c r="W178" s="47" t="s">
        <v>16</v>
      </c>
      <c r="X178" s="47" t="s">
        <v>16</v>
      </c>
      <c r="Y178" s="47" t="s">
        <v>16</v>
      </c>
      <c r="Z178" s="47" t="s">
        <v>16</v>
      </c>
      <c r="AA178" s="47" t="s">
        <v>16</v>
      </c>
      <c r="AB178" s="47" t="s">
        <v>16</v>
      </c>
    </row>
    <row r="179" spans="1:28" ht="15" customHeight="1" x14ac:dyDescent="0.25">
      <c r="A179" s="35" t="s">
        <v>221</v>
      </c>
      <c r="B179" s="42">
        <v>17</v>
      </c>
      <c r="C179" s="42">
        <v>63</v>
      </c>
      <c r="D179" s="42">
        <v>66</v>
      </c>
      <c r="E179" s="42">
        <v>33</v>
      </c>
      <c r="F179" s="42">
        <v>102</v>
      </c>
      <c r="G179" s="42">
        <v>28</v>
      </c>
      <c r="H179" s="42">
        <v>59</v>
      </c>
      <c r="I179" s="42">
        <v>26</v>
      </c>
      <c r="J179" s="42">
        <v>61</v>
      </c>
      <c r="K179" s="42">
        <v>1143</v>
      </c>
      <c r="L179" s="42">
        <v>3534</v>
      </c>
      <c r="M179" s="42">
        <v>4211</v>
      </c>
      <c r="N179" s="42">
        <v>1949</v>
      </c>
      <c r="O179" s="42">
        <v>5446</v>
      </c>
      <c r="P179" s="42">
        <v>1544</v>
      </c>
      <c r="Q179" s="42">
        <v>2822</v>
      </c>
      <c r="R179" s="42">
        <v>1522</v>
      </c>
      <c r="S179" s="42">
        <v>2981</v>
      </c>
      <c r="T179" s="44">
        <v>15</v>
      </c>
      <c r="U179" s="44">
        <v>17.7</v>
      </c>
      <c r="V179" s="44">
        <v>15.7</v>
      </c>
      <c r="W179" s="44">
        <v>16.8</v>
      </c>
      <c r="X179" s="44">
        <v>18.7</v>
      </c>
      <c r="Y179" s="44">
        <v>18</v>
      </c>
      <c r="Z179" s="44">
        <v>21.1</v>
      </c>
      <c r="AA179" s="44">
        <v>16.8</v>
      </c>
      <c r="AB179" s="44">
        <v>20.399999999999999</v>
      </c>
    </row>
    <row r="180" spans="1:28" ht="15" customHeight="1" x14ac:dyDescent="0.25">
      <c r="A180" s="41" t="s">
        <v>230</v>
      </c>
      <c r="B180" s="42">
        <v>12</v>
      </c>
      <c r="C180" s="42">
        <v>47</v>
      </c>
      <c r="D180" s="42">
        <v>29</v>
      </c>
      <c r="E180" s="42">
        <v>10</v>
      </c>
      <c r="F180" s="42">
        <v>59</v>
      </c>
      <c r="G180" s="42">
        <v>12</v>
      </c>
      <c r="H180" s="42">
        <v>26</v>
      </c>
      <c r="I180" s="42">
        <v>17</v>
      </c>
      <c r="J180" s="42">
        <v>35</v>
      </c>
      <c r="K180" s="42">
        <v>910</v>
      </c>
      <c r="L180" s="42">
        <v>2591</v>
      </c>
      <c r="M180" s="42">
        <v>1965</v>
      </c>
      <c r="N180" s="42">
        <v>602</v>
      </c>
      <c r="O180" s="42">
        <v>2479</v>
      </c>
      <c r="P180" s="42">
        <v>711</v>
      </c>
      <c r="Q180" s="42">
        <v>1379</v>
      </c>
      <c r="R180" s="42">
        <v>898</v>
      </c>
      <c r="S180" s="42">
        <v>1861</v>
      </c>
      <c r="T180" s="44">
        <v>13.3</v>
      </c>
      <c r="U180" s="44">
        <v>18.2</v>
      </c>
      <c r="V180" s="44">
        <v>14.5</v>
      </c>
      <c r="W180" s="44">
        <v>16.100000000000001</v>
      </c>
      <c r="X180" s="44">
        <v>23.6</v>
      </c>
      <c r="Y180" s="44">
        <v>17.5</v>
      </c>
      <c r="Z180" s="44">
        <v>18.8</v>
      </c>
      <c r="AA180" s="44">
        <v>19.399999999999999</v>
      </c>
      <c r="AB180" s="44">
        <v>18.899999999999999</v>
      </c>
    </row>
    <row r="181" spans="1:28" ht="15" customHeight="1" x14ac:dyDescent="0.25">
      <c r="A181" s="41" t="s">
        <v>238</v>
      </c>
      <c r="B181" s="42">
        <v>21</v>
      </c>
      <c r="C181" s="42">
        <v>60</v>
      </c>
      <c r="D181" s="42">
        <v>80</v>
      </c>
      <c r="E181" s="42">
        <v>33</v>
      </c>
      <c r="F181" s="42">
        <v>126</v>
      </c>
      <c r="G181" s="42">
        <v>30</v>
      </c>
      <c r="H181" s="42">
        <v>88</v>
      </c>
      <c r="I181" s="42">
        <v>24</v>
      </c>
      <c r="J181" s="42">
        <v>80</v>
      </c>
      <c r="K181" s="42">
        <v>2139</v>
      </c>
      <c r="L181" s="42">
        <v>4975</v>
      </c>
      <c r="M181" s="42">
        <v>6368</v>
      </c>
      <c r="N181" s="42">
        <v>3465</v>
      </c>
      <c r="O181" s="42">
        <v>9683</v>
      </c>
      <c r="P181" s="42">
        <v>2569</v>
      </c>
      <c r="Q181" s="42">
        <v>6393</v>
      </c>
      <c r="R181" s="42">
        <v>2392</v>
      </c>
      <c r="S181" s="42">
        <v>8338</v>
      </c>
      <c r="T181" s="44">
        <v>10</v>
      </c>
      <c r="U181" s="44">
        <v>12.1</v>
      </c>
      <c r="V181" s="44">
        <v>12.5</v>
      </c>
      <c r="W181" s="44">
        <v>9.4</v>
      </c>
      <c r="X181" s="44">
        <v>13.1</v>
      </c>
      <c r="Y181" s="44">
        <v>11.8</v>
      </c>
      <c r="Z181" s="44">
        <v>13.7</v>
      </c>
      <c r="AA181" s="44">
        <v>10</v>
      </c>
      <c r="AB181" s="44">
        <v>9.6</v>
      </c>
    </row>
    <row r="182" spans="1:28" ht="33.950000000000003" customHeight="1" x14ac:dyDescent="0.25">
      <c r="A182" s="40" t="s">
        <v>239</v>
      </c>
      <c r="B182" s="45" t="s">
        <v>16</v>
      </c>
      <c r="C182" s="45" t="s">
        <v>16</v>
      </c>
      <c r="D182" s="45" t="s">
        <v>16</v>
      </c>
      <c r="E182" s="45" t="s">
        <v>16</v>
      </c>
      <c r="F182" s="45" t="s">
        <v>16</v>
      </c>
      <c r="G182" s="45" t="s">
        <v>16</v>
      </c>
      <c r="H182" s="45" t="s">
        <v>16</v>
      </c>
      <c r="I182" s="45" t="s">
        <v>16</v>
      </c>
      <c r="J182" s="45" t="s">
        <v>16</v>
      </c>
      <c r="K182" s="45" t="s">
        <v>16</v>
      </c>
      <c r="L182" s="45" t="s">
        <v>16</v>
      </c>
      <c r="M182" s="45" t="s">
        <v>16</v>
      </c>
      <c r="N182" s="45" t="s">
        <v>16</v>
      </c>
      <c r="O182" s="45" t="s">
        <v>16</v>
      </c>
      <c r="P182" s="45" t="s">
        <v>16</v>
      </c>
      <c r="Q182" s="45" t="s">
        <v>16</v>
      </c>
      <c r="R182" s="45" t="s">
        <v>16</v>
      </c>
      <c r="S182" s="45" t="s">
        <v>16</v>
      </c>
      <c r="T182" s="47" t="s">
        <v>16</v>
      </c>
      <c r="U182" s="47" t="s">
        <v>16</v>
      </c>
      <c r="V182" s="47" t="s">
        <v>16</v>
      </c>
      <c r="W182" s="47" t="s">
        <v>16</v>
      </c>
      <c r="X182" s="47" t="s">
        <v>16</v>
      </c>
      <c r="Y182" s="47" t="s">
        <v>16</v>
      </c>
      <c r="Z182" s="47" t="s">
        <v>16</v>
      </c>
      <c r="AA182" s="47" t="s">
        <v>16</v>
      </c>
      <c r="AB182" s="47" t="s">
        <v>16</v>
      </c>
    </row>
    <row r="183" spans="1:28" ht="15" customHeight="1" x14ac:dyDescent="0.25">
      <c r="A183" s="35" t="s">
        <v>240</v>
      </c>
      <c r="B183" s="42">
        <v>50</v>
      </c>
      <c r="C183" s="42">
        <v>168</v>
      </c>
      <c r="D183" s="42">
        <v>173</v>
      </c>
      <c r="E183" s="42">
        <v>74</v>
      </c>
      <c r="F183" s="42">
        <v>261</v>
      </c>
      <c r="G183" s="42">
        <v>70</v>
      </c>
      <c r="H183" s="42">
        <v>169</v>
      </c>
      <c r="I183" s="42">
        <v>67</v>
      </c>
      <c r="J183" s="42">
        <v>167</v>
      </c>
      <c r="K183" s="42">
        <v>4085</v>
      </c>
      <c r="L183" s="42">
        <v>10959</v>
      </c>
      <c r="M183" s="42">
        <v>12240</v>
      </c>
      <c r="N183" s="42">
        <v>5800</v>
      </c>
      <c r="O183" s="42">
        <v>15883</v>
      </c>
      <c r="P183" s="42">
        <v>4692</v>
      </c>
      <c r="Q183" s="42">
        <v>9923</v>
      </c>
      <c r="R183" s="42">
        <v>4704</v>
      </c>
      <c r="S183" s="42">
        <v>11767</v>
      </c>
      <c r="T183" s="44">
        <v>12.2</v>
      </c>
      <c r="U183" s="44">
        <v>15.3</v>
      </c>
      <c r="V183" s="44">
        <v>14.2</v>
      </c>
      <c r="W183" s="44">
        <v>12.8</v>
      </c>
      <c r="X183" s="44">
        <v>16.5</v>
      </c>
      <c r="Y183" s="44">
        <v>14.8</v>
      </c>
      <c r="Z183" s="44">
        <v>17</v>
      </c>
      <c r="AA183" s="44">
        <v>14.1</v>
      </c>
      <c r="AB183" s="44">
        <v>14.2</v>
      </c>
    </row>
    <row r="184" spans="1:28" ht="15" customHeight="1" x14ac:dyDescent="0.25">
      <c r="A184" s="41" t="s">
        <v>241</v>
      </c>
      <c r="B184" s="42">
        <v>47</v>
      </c>
      <c r="C184" s="42">
        <v>166</v>
      </c>
      <c r="D184" s="42">
        <v>171</v>
      </c>
      <c r="E184" s="42">
        <v>73</v>
      </c>
      <c r="F184" s="42">
        <v>284</v>
      </c>
      <c r="G184" s="42">
        <v>70</v>
      </c>
      <c r="H184" s="42">
        <v>170</v>
      </c>
      <c r="I184" s="42">
        <v>65</v>
      </c>
      <c r="J184" s="42">
        <v>168</v>
      </c>
      <c r="K184" s="42">
        <v>3482</v>
      </c>
      <c r="L184" s="42">
        <v>10467</v>
      </c>
      <c r="M184" s="42">
        <v>11675</v>
      </c>
      <c r="N184" s="42">
        <v>5469</v>
      </c>
      <c r="O184" s="42">
        <v>17094</v>
      </c>
      <c r="P184" s="42">
        <v>4710</v>
      </c>
      <c r="Q184" s="42">
        <v>9931</v>
      </c>
      <c r="R184" s="42">
        <v>4489</v>
      </c>
      <c r="S184" s="42">
        <v>11978</v>
      </c>
      <c r="T184" s="44">
        <v>13.6</v>
      </c>
      <c r="U184" s="44">
        <v>15.9</v>
      </c>
      <c r="V184" s="44">
        <v>14.6</v>
      </c>
      <c r="W184" s="44">
        <v>13.3</v>
      </c>
      <c r="X184" s="44">
        <v>16.600000000000001</v>
      </c>
      <c r="Y184" s="44">
        <v>14.8</v>
      </c>
      <c r="Z184" s="44">
        <v>17.2</v>
      </c>
      <c r="AA184" s="44">
        <v>14.6</v>
      </c>
      <c r="AB184" s="44">
        <v>14</v>
      </c>
    </row>
    <row r="185" spans="1:28" ht="15" customHeight="1" x14ac:dyDescent="0.25">
      <c r="A185" s="41" t="s">
        <v>242</v>
      </c>
      <c r="B185" s="42">
        <v>50</v>
      </c>
      <c r="C185" s="42">
        <v>168</v>
      </c>
      <c r="D185" s="42">
        <v>173</v>
      </c>
      <c r="E185" s="42">
        <v>72</v>
      </c>
      <c r="F185" s="42">
        <v>276</v>
      </c>
      <c r="G185" s="42">
        <v>69</v>
      </c>
      <c r="H185" s="42">
        <v>167</v>
      </c>
      <c r="I185" s="42">
        <v>65</v>
      </c>
      <c r="J185" s="42">
        <v>170</v>
      </c>
      <c r="K185" s="42">
        <v>3915</v>
      </c>
      <c r="L185" s="42">
        <v>10718</v>
      </c>
      <c r="M185" s="42">
        <v>12082</v>
      </c>
      <c r="N185" s="42">
        <v>5510</v>
      </c>
      <c r="O185" s="42">
        <v>16144</v>
      </c>
      <c r="P185" s="42">
        <v>4598</v>
      </c>
      <c r="Q185" s="42">
        <v>9519</v>
      </c>
      <c r="R185" s="42">
        <v>4440</v>
      </c>
      <c r="S185" s="42">
        <v>12089</v>
      </c>
      <c r="T185" s="44">
        <v>12.7</v>
      </c>
      <c r="U185" s="44">
        <v>15.7</v>
      </c>
      <c r="V185" s="44">
        <v>14.3</v>
      </c>
      <c r="W185" s="44">
        <v>13.1</v>
      </c>
      <c r="X185" s="44">
        <v>17.100000000000001</v>
      </c>
      <c r="Y185" s="44">
        <v>15</v>
      </c>
      <c r="Z185" s="44">
        <v>17.5</v>
      </c>
      <c r="AA185" s="44">
        <v>14.6</v>
      </c>
      <c r="AB185" s="44">
        <v>14</v>
      </c>
    </row>
    <row r="186" spans="1:28" ht="15" customHeight="1" x14ac:dyDescent="0.25">
      <c r="A186" s="35" t="s">
        <v>243</v>
      </c>
      <c r="B186" s="42">
        <v>29</v>
      </c>
      <c r="C186" s="42">
        <v>110</v>
      </c>
      <c r="D186" s="42">
        <v>95</v>
      </c>
      <c r="E186" s="42">
        <v>42</v>
      </c>
      <c r="F186" s="42">
        <v>160</v>
      </c>
      <c r="G186" s="42">
        <v>40</v>
      </c>
      <c r="H186" s="42">
        <v>85</v>
      </c>
      <c r="I186" s="42">
        <v>43</v>
      </c>
      <c r="J186" s="42">
        <v>96</v>
      </c>
      <c r="K186" s="42">
        <v>2053</v>
      </c>
      <c r="L186" s="42">
        <v>6124</v>
      </c>
      <c r="M186" s="42">
        <v>6175</v>
      </c>
      <c r="N186" s="42">
        <v>2551</v>
      </c>
      <c r="O186" s="42">
        <v>7925</v>
      </c>
      <c r="P186" s="42">
        <v>2255</v>
      </c>
      <c r="Q186" s="42">
        <v>4201</v>
      </c>
      <c r="R186" s="42">
        <v>2420</v>
      </c>
      <c r="S186" s="42">
        <v>4842</v>
      </c>
      <c r="T186" s="44">
        <v>14.2</v>
      </c>
      <c r="U186" s="44">
        <v>17.899999999999999</v>
      </c>
      <c r="V186" s="44">
        <v>15.3</v>
      </c>
      <c r="W186" s="44">
        <v>16.600000000000001</v>
      </c>
      <c r="X186" s="44">
        <v>20.2</v>
      </c>
      <c r="Y186" s="44">
        <v>17.8</v>
      </c>
      <c r="Z186" s="44">
        <v>20.3</v>
      </c>
      <c r="AA186" s="44">
        <v>17.8</v>
      </c>
      <c r="AB186" s="44">
        <v>19.8</v>
      </c>
    </row>
    <row r="187" spans="1:28" ht="15" customHeight="1" x14ac:dyDescent="0.25">
      <c r="A187" s="41" t="s">
        <v>244</v>
      </c>
      <c r="B187" s="36">
        <v>6</v>
      </c>
      <c r="C187" s="36">
        <v>9</v>
      </c>
      <c r="D187" s="36">
        <v>8</v>
      </c>
      <c r="E187" s="36">
        <v>3</v>
      </c>
      <c r="F187" s="36">
        <v>7</v>
      </c>
      <c r="G187" s="36" t="s">
        <v>28</v>
      </c>
      <c r="H187" s="36">
        <v>19</v>
      </c>
      <c r="I187" s="36" t="s">
        <v>28</v>
      </c>
      <c r="J187" s="36">
        <v>10</v>
      </c>
      <c r="K187" s="36">
        <v>391</v>
      </c>
      <c r="L187" s="36">
        <v>669</v>
      </c>
      <c r="M187" s="36">
        <v>807</v>
      </c>
      <c r="N187" s="36">
        <v>365</v>
      </c>
      <c r="O187" s="36">
        <v>821</v>
      </c>
      <c r="P187" s="36" t="s">
        <v>28</v>
      </c>
      <c r="Q187" s="36">
        <v>705</v>
      </c>
      <c r="R187" s="36" t="s">
        <v>28</v>
      </c>
      <c r="S187" s="36">
        <v>999</v>
      </c>
      <c r="T187" s="38">
        <v>14.3</v>
      </c>
      <c r="U187" s="38">
        <v>14</v>
      </c>
      <c r="V187" s="38">
        <v>10.4</v>
      </c>
      <c r="W187" s="38">
        <v>7.8</v>
      </c>
      <c r="X187" s="38">
        <v>8.1999999999999993</v>
      </c>
      <c r="Y187" s="38" t="s">
        <v>28</v>
      </c>
      <c r="Z187" s="38">
        <v>27.4</v>
      </c>
      <c r="AA187" s="38" t="s">
        <v>28</v>
      </c>
      <c r="AB187" s="38">
        <v>9.5</v>
      </c>
    </row>
    <row r="188" spans="1:28" ht="27.95" customHeight="1" x14ac:dyDescent="0.25">
      <c r="A188" s="41" t="s">
        <v>245</v>
      </c>
      <c r="B188" s="36">
        <v>24</v>
      </c>
      <c r="C188" s="36">
        <v>88</v>
      </c>
      <c r="D188" s="36">
        <v>63</v>
      </c>
      <c r="E188" s="36">
        <v>25</v>
      </c>
      <c r="F188" s="36">
        <v>125</v>
      </c>
      <c r="G188" s="36">
        <v>22</v>
      </c>
      <c r="H188" s="36">
        <v>56</v>
      </c>
      <c r="I188" s="36">
        <v>29</v>
      </c>
      <c r="J188" s="36">
        <v>59</v>
      </c>
      <c r="K188" s="36">
        <v>1456</v>
      </c>
      <c r="L188" s="36">
        <v>4767</v>
      </c>
      <c r="M188" s="36">
        <v>3912</v>
      </c>
      <c r="N188" s="36">
        <v>1445</v>
      </c>
      <c r="O188" s="36">
        <v>5901</v>
      </c>
      <c r="P188" s="36">
        <v>1075</v>
      </c>
      <c r="Q188" s="36">
        <v>2401</v>
      </c>
      <c r="R188" s="36">
        <v>1635</v>
      </c>
      <c r="S188" s="36">
        <v>3049</v>
      </c>
      <c r="T188" s="38">
        <v>16.3</v>
      </c>
      <c r="U188" s="38">
        <v>18.5</v>
      </c>
      <c r="V188" s="38">
        <v>16.2</v>
      </c>
      <c r="W188" s="38">
        <v>17.2</v>
      </c>
      <c r="X188" s="38">
        <v>21.1</v>
      </c>
      <c r="Y188" s="38">
        <v>20.399999999999999</v>
      </c>
      <c r="Z188" s="38">
        <v>23.2</v>
      </c>
      <c r="AA188" s="38">
        <v>17.7</v>
      </c>
      <c r="AB188" s="38">
        <v>19.3</v>
      </c>
    </row>
    <row r="189" spans="1:28" ht="24" customHeight="1" x14ac:dyDescent="0.25">
      <c r="A189" s="40" t="s">
        <v>246</v>
      </c>
      <c r="B189" s="45" t="s">
        <v>16</v>
      </c>
      <c r="C189" s="45" t="s">
        <v>16</v>
      </c>
      <c r="D189" s="45" t="s">
        <v>16</v>
      </c>
      <c r="E189" s="45" t="s">
        <v>16</v>
      </c>
      <c r="F189" s="45" t="s">
        <v>16</v>
      </c>
      <c r="G189" s="45" t="s">
        <v>16</v>
      </c>
      <c r="H189" s="45" t="s">
        <v>16</v>
      </c>
      <c r="I189" s="45" t="s">
        <v>16</v>
      </c>
      <c r="J189" s="45" t="s">
        <v>16</v>
      </c>
      <c r="K189" s="45" t="s">
        <v>16</v>
      </c>
      <c r="L189" s="45" t="s">
        <v>16</v>
      </c>
      <c r="M189" s="45" t="s">
        <v>16</v>
      </c>
      <c r="N189" s="45" t="s">
        <v>16</v>
      </c>
      <c r="O189" s="45" t="s">
        <v>16</v>
      </c>
      <c r="P189" s="45" t="s">
        <v>16</v>
      </c>
      <c r="Q189" s="45" t="s">
        <v>16</v>
      </c>
      <c r="R189" s="45" t="s">
        <v>16</v>
      </c>
      <c r="S189" s="45" t="s">
        <v>16</v>
      </c>
      <c r="T189" s="47" t="s">
        <v>16</v>
      </c>
      <c r="U189" s="47" t="s">
        <v>16</v>
      </c>
      <c r="V189" s="47" t="s">
        <v>16</v>
      </c>
      <c r="W189" s="47" t="s">
        <v>16</v>
      </c>
      <c r="X189" s="47" t="s">
        <v>16</v>
      </c>
      <c r="Y189" s="47" t="s">
        <v>16</v>
      </c>
      <c r="Z189" s="47" t="s">
        <v>16</v>
      </c>
      <c r="AA189" s="47" t="s">
        <v>16</v>
      </c>
      <c r="AB189" s="47" t="s">
        <v>16</v>
      </c>
    </row>
    <row r="190" spans="1:28" ht="15" customHeight="1" x14ac:dyDescent="0.25">
      <c r="A190" s="35" t="s">
        <v>247</v>
      </c>
      <c r="B190" s="42" t="s">
        <v>28</v>
      </c>
      <c r="C190" s="42" t="s">
        <v>28</v>
      </c>
      <c r="D190" s="42" t="s">
        <v>28</v>
      </c>
      <c r="E190" s="42">
        <v>1</v>
      </c>
      <c r="F190" s="42">
        <v>25</v>
      </c>
      <c r="G190" s="42" t="s">
        <v>28</v>
      </c>
      <c r="H190" s="42">
        <v>4</v>
      </c>
      <c r="I190" s="42" t="s">
        <v>28</v>
      </c>
      <c r="J190" s="42">
        <v>9</v>
      </c>
      <c r="K190" s="42" t="s">
        <v>28</v>
      </c>
      <c r="L190" s="42" t="s">
        <v>28</v>
      </c>
      <c r="M190" s="42" t="s">
        <v>28</v>
      </c>
      <c r="N190" s="42">
        <v>217</v>
      </c>
      <c r="O190" s="42">
        <v>1724</v>
      </c>
      <c r="P190" s="42" t="s">
        <v>28</v>
      </c>
      <c r="Q190" s="42">
        <v>671</v>
      </c>
      <c r="R190" s="42" t="s">
        <v>28</v>
      </c>
      <c r="S190" s="42">
        <v>1413</v>
      </c>
      <c r="T190" s="44" t="s">
        <v>28</v>
      </c>
      <c r="U190" s="44" t="s">
        <v>28</v>
      </c>
      <c r="V190" s="44" t="s">
        <v>28</v>
      </c>
      <c r="W190" s="44">
        <v>3.3</v>
      </c>
      <c r="X190" s="44">
        <v>14.6</v>
      </c>
      <c r="Y190" s="44" t="s">
        <v>28</v>
      </c>
      <c r="Z190" s="44">
        <v>6.6</v>
      </c>
      <c r="AA190" s="44" t="s">
        <v>28</v>
      </c>
      <c r="AB190" s="44">
        <v>6.6</v>
      </c>
    </row>
    <row r="191" spans="1:28" ht="15" customHeight="1" x14ac:dyDescent="0.25">
      <c r="A191" s="41" t="s">
        <v>248</v>
      </c>
      <c r="B191" s="42">
        <v>2</v>
      </c>
      <c r="C191" s="42">
        <v>7</v>
      </c>
      <c r="D191" s="42">
        <v>7</v>
      </c>
      <c r="E191" s="42" t="s">
        <v>28</v>
      </c>
      <c r="F191" s="42">
        <v>26</v>
      </c>
      <c r="G191" s="42">
        <v>4</v>
      </c>
      <c r="H191" s="42">
        <v>13</v>
      </c>
      <c r="I191" s="42">
        <v>7</v>
      </c>
      <c r="J191" s="42">
        <v>28</v>
      </c>
      <c r="K191" s="42" t="s">
        <v>28</v>
      </c>
      <c r="L191" s="42">
        <v>757</v>
      </c>
      <c r="M191" s="42">
        <v>734</v>
      </c>
      <c r="N191" s="42">
        <v>560</v>
      </c>
      <c r="O191" s="42">
        <v>2193</v>
      </c>
      <c r="P191" s="42">
        <v>469</v>
      </c>
      <c r="Q191" s="42">
        <v>1317</v>
      </c>
      <c r="R191" s="42">
        <v>592</v>
      </c>
      <c r="S191" s="42">
        <v>3117</v>
      </c>
      <c r="T191" s="44" t="s">
        <v>28</v>
      </c>
      <c r="U191" s="44">
        <v>9.6</v>
      </c>
      <c r="V191" s="44">
        <v>9.9</v>
      </c>
      <c r="W191" s="44">
        <v>7.3</v>
      </c>
      <c r="X191" s="44">
        <v>11.9</v>
      </c>
      <c r="Y191" s="44">
        <v>8.3000000000000007</v>
      </c>
      <c r="Z191" s="44">
        <v>9.6</v>
      </c>
      <c r="AA191" s="44">
        <v>11</v>
      </c>
      <c r="AB191" s="44">
        <v>9.1</v>
      </c>
    </row>
    <row r="192" spans="1:28" ht="15" customHeight="1" x14ac:dyDescent="0.25">
      <c r="A192" s="41" t="s">
        <v>249</v>
      </c>
      <c r="B192" s="42">
        <v>13</v>
      </c>
      <c r="C192" s="42">
        <v>30</v>
      </c>
      <c r="D192" s="42">
        <v>22</v>
      </c>
      <c r="E192" s="42">
        <v>8</v>
      </c>
      <c r="F192" s="42">
        <v>53</v>
      </c>
      <c r="G192" s="42">
        <v>17</v>
      </c>
      <c r="H192" s="42">
        <v>40</v>
      </c>
      <c r="I192" s="42">
        <v>11</v>
      </c>
      <c r="J192" s="42">
        <v>40</v>
      </c>
      <c r="K192" s="42">
        <v>805</v>
      </c>
      <c r="L192" s="42">
        <v>2064</v>
      </c>
      <c r="M192" s="42">
        <v>1545</v>
      </c>
      <c r="N192" s="42">
        <v>694</v>
      </c>
      <c r="O192" s="42">
        <v>3098</v>
      </c>
      <c r="P192" s="42">
        <v>1236</v>
      </c>
      <c r="Q192" s="42">
        <v>1883</v>
      </c>
      <c r="R192" s="42">
        <v>658</v>
      </c>
      <c r="S192" s="42">
        <v>2662</v>
      </c>
      <c r="T192" s="44">
        <v>15.7</v>
      </c>
      <c r="U192" s="44">
        <v>14.5</v>
      </c>
      <c r="V192" s="44">
        <v>14.3</v>
      </c>
      <c r="W192" s="44">
        <v>11.7</v>
      </c>
      <c r="X192" s="44">
        <v>17.100000000000001</v>
      </c>
      <c r="Y192" s="44">
        <v>13.6</v>
      </c>
      <c r="Z192" s="44">
        <v>21.3</v>
      </c>
      <c r="AA192" s="44">
        <v>16</v>
      </c>
      <c r="AB192" s="44">
        <v>15.2</v>
      </c>
    </row>
    <row r="193" spans="1:28" ht="15" customHeight="1" x14ac:dyDescent="0.25">
      <c r="A193" s="48" t="s">
        <v>250</v>
      </c>
      <c r="B193" s="42">
        <v>35</v>
      </c>
      <c r="C193" s="42">
        <v>130</v>
      </c>
      <c r="D193" s="42">
        <v>144</v>
      </c>
      <c r="E193" s="42">
        <v>62</v>
      </c>
      <c r="F193" s="42">
        <v>182</v>
      </c>
      <c r="G193" s="42">
        <v>49</v>
      </c>
      <c r="H193" s="42">
        <v>116</v>
      </c>
      <c r="I193" s="42">
        <v>49</v>
      </c>
      <c r="J193" s="42">
        <v>98</v>
      </c>
      <c r="K193" s="42">
        <v>2906</v>
      </c>
      <c r="L193" s="42">
        <v>8138</v>
      </c>
      <c r="M193" s="42">
        <v>9961</v>
      </c>
      <c r="N193" s="42">
        <v>4545</v>
      </c>
      <c r="O193" s="42">
        <v>10592</v>
      </c>
      <c r="P193" s="42">
        <v>2987</v>
      </c>
      <c r="Q193" s="42">
        <v>6724</v>
      </c>
      <c r="R193" s="42">
        <v>3453</v>
      </c>
      <c r="S193" s="42">
        <v>5988</v>
      </c>
      <c r="T193" s="44">
        <v>12.2</v>
      </c>
      <c r="U193" s="44">
        <v>16</v>
      </c>
      <c r="V193" s="44">
        <v>14.5</v>
      </c>
      <c r="W193" s="44">
        <v>13.6</v>
      </c>
      <c r="X193" s="44">
        <v>17.2</v>
      </c>
      <c r="Y193" s="44">
        <v>16.3</v>
      </c>
      <c r="Z193" s="44">
        <v>17.2</v>
      </c>
      <c r="AA193" s="44">
        <v>14.3</v>
      </c>
      <c r="AB193" s="44">
        <v>16.3</v>
      </c>
    </row>
    <row r="194" spans="1:28" ht="24" customHeight="1" x14ac:dyDescent="0.25">
      <c r="A194" s="40" t="s">
        <v>251</v>
      </c>
      <c r="B194" s="45" t="s">
        <v>16</v>
      </c>
      <c r="C194" s="45" t="s">
        <v>16</v>
      </c>
      <c r="D194" s="45" t="s">
        <v>16</v>
      </c>
      <c r="E194" s="45" t="s">
        <v>16</v>
      </c>
      <c r="F194" s="45" t="s">
        <v>16</v>
      </c>
      <c r="G194" s="45" t="s">
        <v>16</v>
      </c>
      <c r="H194" s="45" t="s">
        <v>16</v>
      </c>
      <c r="I194" s="45" t="s">
        <v>16</v>
      </c>
      <c r="J194" s="45" t="s">
        <v>16</v>
      </c>
      <c r="K194" s="45" t="s">
        <v>16</v>
      </c>
      <c r="L194" s="45" t="s">
        <v>16</v>
      </c>
      <c r="M194" s="45" t="s">
        <v>16</v>
      </c>
      <c r="N194" s="45" t="s">
        <v>16</v>
      </c>
      <c r="O194" s="45" t="s">
        <v>16</v>
      </c>
      <c r="P194" s="45" t="s">
        <v>16</v>
      </c>
      <c r="Q194" s="45" t="s">
        <v>16</v>
      </c>
      <c r="R194" s="45" t="s">
        <v>16</v>
      </c>
      <c r="S194" s="45" t="s">
        <v>16</v>
      </c>
      <c r="T194" s="47" t="s">
        <v>16</v>
      </c>
      <c r="U194" s="47" t="s">
        <v>16</v>
      </c>
      <c r="V194" s="47" t="s">
        <v>16</v>
      </c>
      <c r="W194" s="47" t="s">
        <v>16</v>
      </c>
      <c r="X194" s="47" t="s">
        <v>16</v>
      </c>
      <c r="Y194" s="47" t="s">
        <v>16</v>
      </c>
      <c r="Z194" s="47" t="s">
        <v>16</v>
      </c>
      <c r="AA194" s="47" t="s">
        <v>16</v>
      </c>
      <c r="AB194" s="47" t="s">
        <v>16</v>
      </c>
    </row>
    <row r="195" spans="1:28" ht="15" customHeight="1" x14ac:dyDescent="0.25">
      <c r="A195" s="35" t="s">
        <v>252</v>
      </c>
      <c r="B195" s="42">
        <v>3</v>
      </c>
      <c r="C195" s="42">
        <v>3</v>
      </c>
      <c r="D195" s="42">
        <v>4</v>
      </c>
      <c r="E195" s="42">
        <v>2</v>
      </c>
      <c r="F195" s="42">
        <v>3</v>
      </c>
      <c r="G195" s="42" t="s">
        <v>28</v>
      </c>
      <c r="H195" s="42">
        <v>3</v>
      </c>
      <c r="I195" s="42">
        <v>2</v>
      </c>
      <c r="J195" s="42">
        <v>8</v>
      </c>
      <c r="K195" s="42" t="s">
        <v>28</v>
      </c>
      <c r="L195" s="42">
        <v>632</v>
      </c>
      <c r="M195" s="42">
        <v>869</v>
      </c>
      <c r="N195" s="42">
        <v>548</v>
      </c>
      <c r="O195" s="42">
        <v>514</v>
      </c>
      <c r="P195" s="42" t="s">
        <v>28</v>
      </c>
      <c r="Q195" s="42">
        <v>663</v>
      </c>
      <c r="R195" s="42">
        <v>323</v>
      </c>
      <c r="S195" s="42">
        <v>1202</v>
      </c>
      <c r="T195" s="44">
        <v>4.3</v>
      </c>
      <c r="U195" s="44">
        <v>5.5</v>
      </c>
      <c r="V195" s="44">
        <v>4.0999999999999996</v>
      </c>
      <c r="W195" s="44">
        <v>3.8</v>
      </c>
      <c r="X195" s="44">
        <v>5</v>
      </c>
      <c r="Y195" s="44" t="s">
        <v>28</v>
      </c>
      <c r="Z195" s="44">
        <v>3.9</v>
      </c>
      <c r="AA195" s="44">
        <v>4.9000000000000004</v>
      </c>
      <c r="AB195" s="44">
        <v>6.5</v>
      </c>
    </row>
    <row r="196" spans="1:28" ht="15" customHeight="1" x14ac:dyDescent="0.25">
      <c r="A196" s="41" t="s">
        <v>248</v>
      </c>
      <c r="B196" s="42">
        <v>7</v>
      </c>
      <c r="C196" s="42">
        <v>19</v>
      </c>
      <c r="D196" s="42">
        <v>33</v>
      </c>
      <c r="E196" s="42">
        <v>11</v>
      </c>
      <c r="F196" s="42">
        <v>27</v>
      </c>
      <c r="G196" s="42">
        <v>6</v>
      </c>
      <c r="H196" s="42">
        <v>14</v>
      </c>
      <c r="I196" s="42">
        <v>7</v>
      </c>
      <c r="J196" s="42">
        <v>28</v>
      </c>
      <c r="K196" s="42">
        <v>1019</v>
      </c>
      <c r="L196" s="42">
        <v>2539</v>
      </c>
      <c r="M196" s="42">
        <v>3289</v>
      </c>
      <c r="N196" s="42">
        <v>1451</v>
      </c>
      <c r="O196" s="42">
        <v>3237</v>
      </c>
      <c r="P196" s="42">
        <v>969</v>
      </c>
      <c r="Q196" s="42">
        <v>1982</v>
      </c>
      <c r="R196" s="42">
        <v>828</v>
      </c>
      <c r="S196" s="42">
        <v>3576</v>
      </c>
      <c r="T196" s="44">
        <v>7.4</v>
      </c>
      <c r="U196" s="44">
        <v>7.3</v>
      </c>
      <c r="V196" s="44">
        <v>10.1</v>
      </c>
      <c r="W196" s="44">
        <v>7.9</v>
      </c>
      <c r="X196" s="44">
        <v>8.3000000000000007</v>
      </c>
      <c r="Y196" s="44">
        <v>6.7</v>
      </c>
      <c r="Z196" s="44">
        <v>7.1</v>
      </c>
      <c r="AA196" s="44">
        <v>8.1999999999999993</v>
      </c>
      <c r="AB196" s="44">
        <v>7.8</v>
      </c>
    </row>
    <row r="197" spans="1:28" ht="15" customHeight="1" x14ac:dyDescent="0.25">
      <c r="A197" s="41" t="s">
        <v>249</v>
      </c>
      <c r="B197" s="42">
        <v>21</v>
      </c>
      <c r="C197" s="42">
        <v>69</v>
      </c>
      <c r="D197" s="42">
        <v>53</v>
      </c>
      <c r="E197" s="42">
        <v>19</v>
      </c>
      <c r="F197" s="42">
        <v>85</v>
      </c>
      <c r="G197" s="42">
        <v>23</v>
      </c>
      <c r="H197" s="42">
        <v>44</v>
      </c>
      <c r="I197" s="42">
        <v>17</v>
      </c>
      <c r="J197" s="42">
        <v>51</v>
      </c>
      <c r="K197" s="42">
        <v>1323</v>
      </c>
      <c r="L197" s="42">
        <v>3758</v>
      </c>
      <c r="M197" s="42">
        <v>3408</v>
      </c>
      <c r="N197" s="42">
        <v>1289</v>
      </c>
      <c r="O197" s="42">
        <v>4695</v>
      </c>
      <c r="P197" s="42">
        <v>1642</v>
      </c>
      <c r="Q197" s="42">
        <v>2126</v>
      </c>
      <c r="R197" s="42">
        <v>1054</v>
      </c>
      <c r="S197" s="42">
        <v>3434</v>
      </c>
      <c r="T197" s="44">
        <v>15.6</v>
      </c>
      <c r="U197" s="44">
        <v>18.3</v>
      </c>
      <c r="V197" s="44">
        <v>15.6</v>
      </c>
      <c r="W197" s="44">
        <v>14.4</v>
      </c>
      <c r="X197" s="44">
        <v>18.2</v>
      </c>
      <c r="Y197" s="44">
        <v>13.9</v>
      </c>
      <c r="Z197" s="44">
        <v>20.7</v>
      </c>
      <c r="AA197" s="44">
        <v>16</v>
      </c>
      <c r="AB197" s="44">
        <v>14.9</v>
      </c>
    </row>
    <row r="198" spans="1:28" ht="15" customHeight="1" x14ac:dyDescent="0.25">
      <c r="A198" s="48" t="s">
        <v>250</v>
      </c>
      <c r="B198" s="42">
        <v>19</v>
      </c>
      <c r="C198" s="42">
        <v>79</v>
      </c>
      <c r="D198" s="42">
        <v>85</v>
      </c>
      <c r="E198" s="42">
        <v>43</v>
      </c>
      <c r="F198" s="42">
        <v>172</v>
      </c>
      <c r="G198" s="42">
        <v>41</v>
      </c>
      <c r="H198" s="42">
        <v>112</v>
      </c>
      <c r="I198" s="42">
        <v>42</v>
      </c>
      <c r="J198" s="42">
        <v>89</v>
      </c>
      <c r="K198" s="42">
        <v>1141</v>
      </c>
      <c r="L198" s="42">
        <v>4170</v>
      </c>
      <c r="M198" s="42">
        <v>4977</v>
      </c>
      <c r="N198" s="42">
        <v>2728</v>
      </c>
      <c r="O198" s="42">
        <v>9162</v>
      </c>
      <c r="P198" s="42">
        <v>2098</v>
      </c>
      <c r="Q198" s="42">
        <v>5823</v>
      </c>
      <c r="R198" s="42">
        <v>2608</v>
      </c>
      <c r="S198" s="42">
        <v>4968</v>
      </c>
      <c r="T198" s="44">
        <v>17</v>
      </c>
      <c r="U198" s="44">
        <v>18.899999999999999</v>
      </c>
      <c r="V198" s="44">
        <v>17</v>
      </c>
      <c r="W198" s="44">
        <v>15.7</v>
      </c>
      <c r="X198" s="44">
        <v>18.8</v>
      </c>
      <c r="Y198" s="44">
        <v>19.3</v>
      </c>
      <c r="Z198" s="44">
        <v>19.3</v>
      </c>
      <c r="AA198" s="44">
        <v>16</v>
      </c>
      <c r="AB198" s="44">
        <v>17.899999999999999</v>
      </c>
    </row>
    <row r="199" spans="1:28" ht="24" customHeight="1" x14ac:dyDescent="0.25">
      <c r="A199" s="40" t="s">
        <v>253</v>
      </c>
      <c r="B199" s="45" t="s">
        <v>16</v>
      </c>
      <c r="C199" s="45" t="s">
        <v>16</v>
      </c>
      <c r="D199" s="45" t="s">
        <v>16</v>
      </c>
      <c r="E199" s="45" t="s">
        <v>16</v>
      </c>
      <c r="F199" s="45" t="s">
        <v>16</v>
      </c>
      <c r="G199" s="45" t="s">
        <v>16</v>
      </c>
      <c r="H199" s="45" t="s">
        <v>16</v>
      </c>
      <c r="I199" s="45" t="s">
        <v>16</v>
      </c>
      <c r="J199" s="45" t="s">
        <v>16</v>
      </c>
      <c r="K199" s="45" t="s">
        <v>16</v>
      </c>
      <c r="L199" s="45" t="s">
        <v>16</v>
      </c>
      <c r="M199" s="45" t="s">
        <v>16</v>
      </c>
      <c r="N199" s="45" t="s">
        <v>16</v>
      </c>
      <c r="O199" s="45" t="s">
        <v>16</v>
      </c>
      <c r="P199" s="45" t="s">
        <v>16</v>
      </c>
      <c r="Q199" s="45" t="s">
        <v>16</v>
      </c>
      <c r="R199" s="45" t="s">
        <v>16</v>
      </c>
      <c r="S199" s="45" t="s">
        <v>16</v>
      </c>
      <c r="T199" s="47" t="s">
        <v>16</v>
      </c>
      <c r="U199" s="47" t="s">
        <v>16</v>
      </c>
      <c r="V199" s="47" t="s">
        <v>16</v>
      </c>
      <c r="W199" s="47" t="s">
        <v>16</v>
      </c>
      <c r="X199" s="47" t="s">
        <v>16</v>
      </c>
      <c r="Y199" s="47" t="s">
        <v>16</v>
      </c>
      <c r="Z199" s="47" t="s">
        <v>16</v>
      </c>
      <c r="AA199" s="47" t="s">
        <v>16</v>
      </c>
      <c r="AB199" s="47" t="s">
        <v>16</v>
      </c>
    </row>
    <row r="200" spans="1:28" ht="15" customHeight="1" x14ac:dyDescent="0.25">
      <c r="A200" s="35" t="s">
        <v>254</v>
      </c>
      <c r="B200" s="42" t="s">
        <v>127</v>
      </c>
      <c r="C200" s="42" t="s">
        <v>28</v>
      </c>
      <c r="D200" s="42" t="s">
        <v>28</v>
      </c>
      <c r="E200" s="42" t="s">
        <v>28</v>
      </c>
      <c r="F200" s="42" t="s">
        <v>28</v>
      </c>
      <c r="G200" s="42" t="s">
        <v>28</v>
      </c>
      <c r="H200" s="42" t="s">
        <v>28</v>
      </c>
      <c r="I200" s="42" t="s">
        <v>28</v>
      </c>
      <c r="J200" s="42" t="s">
        <v>28</v>
      </c>
      <c r="K200" s="42" t="s">
        <v>127</v>
      </c>
      <c r="L200" s="42" t="s">
        <v>28</v>
      </c>
      <c r="M200" s="42" t="s">
        <v>28</v>
      </c>
      <c r="N200" s="42" t="s">
        <v>28</v>
      </c>
      <c r="O200" s="42" t="s">
        <v>28</v>
      </c>
      <c r="P200" s="42" t="s">
        <v>28</v>
      </c>
      <c r="Q200" s="42" t="s">
        <v>28</v>
      </c>
      <c r="R200" s="42" t="s">
        <v>28</v>
      </c>
      <c r="S200" s="42" t="s">
        <v>28</v>
      </c>
      <c r="T200" s="44" t="s">
        <v>127</v>
      </c>
      <c r="U200" s="44" t="s">
        <v>28</v>
      </c>
      <c r="V200" s="44" t="s">
        <v>28</v>
      </c>
      <c r="W200" s="44" t="s">
        <v>28</v>
      </c>
      <c r="X200" s="44" t="s">
        <v>28</v>
      </c>
      <c r="Y200" s="44" t="s">
        <v>28</v>
      </c>
      <c r="Z200" s="44" t="s">
        <v>28</v>
      </c>
      <c r="AA200" s="44" t="s">
        <v>28</v>
      </c>
      <c r="AB200" s="44" t="s">
        <v>28</v>
      </c>
    </row>
    <row r="201" spans="1:28" ht="15" customHeight="1" x14ac:dyDescent="0.25">
      <c r="A201" s="41" t="s">
        <v>248</v>
      </c>
      <c r="B201" s="42">
        <v>4</v>
      </c>
      <c r="C201" s="42">
        <v>9</v>
      </c>
      <c r="D201" s="42">
        <v>19</v>
      </c>
      <c r="E201" s="42">
        <v>11</v>
      </c>
      <c r="F201" s="42">
        <v>27</v>
      </c>
      <c r="G201" s="42">
        <v>7</v>
      </c>
      <c r="H201" s="42">
        <v>16</v>
      </c>
      <c r="I201" s="42">
        <v>5</v>
      </c>
      <c r="J201" s="42">
        <v>16</v>
      </c>
      <c r="K201" s="42">
        <v>677</v>
      </c>
      <c r="L201" s="42">
        <v>1420</v>
      </c>
      <c r="M201" s="42">
        <v>1840</v>
      </c>
      <c r="N201" s="42">
        <v>1030</v>
      </c>
      <c r="O201" s="42">
        <v>2375</v>
      </c>
      <c r="P201" s="42">
        <v>817</v>
      </c>
      <c r="Q201" s="42">
        <v>1562</v>
      </c>
      <c r="R201" s="42">
        <v>541</v>
      </c>
      <c r="S201" s="42">
        <v>2366</v>
      </c>
      <c r="T201" s="44">
        <v>6.5</v>
      </c>
      <c r="U201" s="44">
        <v>6.5</v>
      </c>
      <c r="V201" s="44">
        <v>10.6</v>
      </c>
      <c r="W201" s="44">
        <v>10.4</v>
      </c>
      <c r="X201" s="44">
        <v>11.5</v>
      </c>
      <c r="Y201" s="44">
        <v>8.3000000000000007</v>
      </c>
      <c r="Z201" s="44">
        <v>10.1</v>
      </c>
      <c r="AA201" s="44">
        <v>8.4</v>
      </c>
      <c r="AB201" s="44">
        <v>6.6</v>
      </c>
    </row>
    <row r="202" spans="1:28" ht="15" customHeight="1" x14ac:dyDescent="0.25">
      <c r="A202" s="41" t="s">
        <v>249</v>
      </c>
      <c r="B202" s="42">
        <v>27</v>
      </c>
      <c r="C202" s="42">
        <v>64</v>
      </c>
      <c r="D202" s="42">
        <v>81</v>
      </c>
      <c r="E202" s="42">
        <v>33</v>
      </c>
      <c r="F202" s="42">
        <v>123</v>
      </c>
      <c r="G202" s="42">
        <v>25</v>
      </c>
      <c r="H202" s="42">
        <v>69</v>
      </c>
      <c r="I202" s="42">
        <v>26</v>
      </c>
      <c r="J202" s="42">
        <v>78</v>
      </c>
      <c r="K202" s="42">
        <v>2099</v>
      </c>
      <c r="L202" s="42">
        <v>4189</v>
      </c>
      <c r="M202" s="42">
        <v>5616</v>
      </c>
      <c r="N202" s="42">
        <v>2315</v>
      </c>
      <c r="O202" s="42">
        <v>7284</v>
      </c>
      <c r="P202" s="42">
        <v>1665</v>
      </c>
      <c r="Q202" s="42">
        <v>4339</v>
      </c>
      <c r="R202" s="42">
        <v>1847</v>
      </c>
      <c r="S202" s="42">
        <v>5460</v>
      </c>
      <c r="T202" s="44">
        <v>12.8</v>
      </c>
      <c r="U202" s="44">
        <v>15.2</v>
      </c>
      <c r="V202" s="44">
        <v>14.5</v>
      </c>
      <c r="W202" s="44">
        <v>14.2</v>
      </c>
      <c r="X202" s="44">
        <v>16.899999999999999</v>
      </c>
      <c r="Y202" s="44">
        <v>15.1</v>
      </c>
      <c r="Z202" s="44">
        <v>15.9</v>
      </c>
      <c r="AA202" s="44">
        <v>14.2</v>
      </c>
      <c r="AB202" s="44">
        <v>14.3</v>
      </c>
    </row>
    <row r="203" spans="1:28" ht="15" customHeight="1" x14ac:dyDescent="0.25">
      <c r="A203" s="48" t="s">
        <v>250</v>
      </c>
      <c r="B203" s="42">
        <v>19</v>
      </c>
      <c r="C203" s="42">
        <v>97</v>
      </c>
      <c r="D203" s="42">
        <v>73</v>
      </c>
      <c r="E203" s="42">
        <v>30</v>
      </c>
      <c r="F203" s="42">
        <v>136</v>
      </c>
      <c r="G203" s="42">
        <v>39</v>
      </c>
      <c r="H203" s="42">
        <v>88</v>
      </c>
      <c r="I203" s="42">
        <v>36</v>
      </c>
      <c r="J203" s="42">
        <v>82</v>
      </c>
      <c r="K203" s="42">
        <v>1286</v>
      </c>
      <c r="L203" s="42">
        <v>5384</v>
      </c>
      <c r="M203" s="42">
        <v>4794</v>
      </c>
      <c r="N203" s="42">
        <v>2472</v>
      </c>
      <c r="O203" s="42">
        <v>7734</v>
      </c>
      <c r="P203" s="42">
        <v>2233</v>
      </c>
      <c r="Q203" s="42">
        <v>4438</v>
      </c>
      <c r="R203" s="42">
        <v>2279</v>
      </c>
      <c r="S203" s="42">
        <v>5107</v>
      </c>
      <c r="T203" s="44">
        <v>14.8</v>
      </c>
      <c r="U203" s="44">
        <v>18</v>
      </c>
      <c r="V203" s="44">
        <v>15.3</v>
      </c>
      <c r="W203" s="44">
        <v>12.3</v>
      </c>
      <c r="X203" s="44">
        <v>17.600000000000001</v>
      </c>
      <c r="Y203" s="44">
        <v>17.3</v>
      </c>
      <c r="Z203" s="44">
        <v>19.8</v>
      </c>
      <c r="AA203" s="44">
        <v>15.8</v>
      </c>
      <c r="AB203" s="44">
        <v>16</v>
      </c>
    </row>
    <row r="204" spans="1:28" ht="27.95" customHeight="1" x14ac:dyDescent="0.25">
      <c r="A204" s="48" t="s">
        <v>255</v>
      </c>
      <c r="B204" s="42" t="s">
        <v>28</v>
      </c>
      <c r="C204" s="42" t="s">
        <v>28</v>
      </c>
      <c r="D204" s="42" t="s">
        <v>28</v>
      </c>
      <c r="E204" s="42" t="s">
        <v>28</v>
      </c>
      <c r="F204" s="42" t="s">
        <v>256</v>
      </c>
      <c r="G204" s="42" t="s">
        <v>28</v>
      </c>
      <c r="H204" s="42" t="s">
        <v>28</v>
      </c>
      <c r="I204" s="42" t="s">
        <v>28</v>
      </c>
      <c r="J204" s="42" t="s">
        <v>28</v>
      </c>
      <c r="K204" s="42" t="s">
        <v>28</v>
      </c>
      <c r="L204" s="42" t="s">
        <v>28</v>
      </c>
      <c r="M204" s="42" t="s">
        <v>28</v>
      </c>
      <c r="N204" s="42" t="s">
        <v>28</v>
      </c>
      <c r="O204" s="42">
        <v>154</v>
      </c>
      <c r="P204" s="42" t="s">
        <v>28</v>
      </c>
      <c r="Q204" s="42" t="s">
        <v>28</v>
      </c>
      <c r="R204" s="42" t="s">
        <v>28</v>
      </c>
      <c r="S204" s="42">
        <v>213</v>
      </c>
      <c r="T204" s="44" t="s">
        <v>28</v>
      </c>
      <c r="U204" s="44" t="s">
        <v>28</v>
      </c>
      <c r="V204" s="44" t="s">
        <v>28</v>
      </c>
      <c r="W204" s="44" t="s">
        <v>28</v>
      </c>
      <c r="X204" s="44">
        <v>2.1</v>
      </c>
      <c r="Y204" s="44" t="s">
        <v>28</v>
      </c>
      <c r="Z204" s="44" t="s">
        <v>28</v>
      </c>
      <c r="AA204" s="44" t="s">
        <v>28</v>
      </c>
      <c r="AB204" s="44">
        <v>3.4</v>
      </c>
    </row>
    <row r="205" spans="1:28" ht="24" customHeight="1" x14ac:dyDescent="0.25">
      <c r="A205" s="40" t="s">
        <v>257</v>
      </c>
      <c r="B205" s="45" t="s">
        <v>16</v>
      </c>
      <c r="C205" s="45" t="s">
        <v>16</v>
      </c>
      <c r="D205" s="45" t="s">
        <v>16</v>
      </c>
      <c r="E205" s="45" t="s">
        <v>16</v>
      </c>
      <c r="F205" s="45" t="s">
        <v>16</v>
      </c>
      <c r="G205" s="45" t="s">
        <v>16</v>
      </c>
      <c r="H205" s="45" t="s">
        <v>16</v>
      </c>
      <c r="I205" s="45" t="s">
        <v>16</v>
      </c>
      <c r="J205" s="45" t="s">
        <v>16</v>
      </c>
      <c r="K205" s="45" t="s">
        <v>16</v>
      </c>
      <c r="L205" s="45" t="s">
        <v>16</v>
      </c>
      <c r="M205" s="45" t="s">
        <v>16</v>
      </c>
      <c r="N205" s="45" t="s">
        <v>16</v>
      </c>
      <c r="O205" s="45" t="s">
        <v>16</v>
      </c>
      <c r="P205" s="45" t="s">
        <v>16</v>
      </c>
      <c r="Q205" s="45" t="s">
        <v>16</v>
      </c>
      <c r="R205" s="45" t="s">
        <v>16</v>
      </c>
      <c r="S205" s="45" t="s">
        <v>16</v>
      </c>
      <c r="T205" s="47" t="s">
        <v>16</v>
      </c>
      <c r="U205" s="47" t="s">
        <v>16</v>
      </c>
      <c r="V205" s="47" t="s">
        <v>16</v>
      </c>
      <c r="W205" s="47" t="s">
        <v>16</v>
      </c>
      <c r="X205" s="47" t="s">
        <v>16</v>
      </c>
      <c r="Y205" s="47" t="s">
        <v>16</v>
      </c>
      <c r="Z205" s="47" t="s">
        <v>16</v>
      </c>
      <c r="AA205" s="47" t="s">
        <v>16</v>
      </c>
      <c r="AB205" s="47" t="s">
        <v>16</v>
      </c>
    </row>
    <row r="206" spans="1:28" ht="15" customHeight="1" x14ac:dyDescent="0.25">
      <c r="A206" s="35" t="s">
        <v>254</v>
      </c>
      <c r="B206" s="42">
        <v>10</v>
      </c>
      <c r="C206" s="42">
        <v>26</v>
      </c>
      <c r="D206" s="42">
        <v>29</v>
      </c>
      <c r="E206" s="42">
        <v>17</v>
      </c>
      <c r="F206" s="42">
        <v>48</v>
      </c>
      <c r="G206" s="42">
        <v>12</v>
      </c>
      <c r="H206" s="42">
        <v>30</v>
      </c>
      <c r="I206" s="42">
        <v>14</v>
      </c>
      <c r="J206" s="42">
        <v>46</v>
      </c>
      <c r="K206" s="42">
        <v>1396</v>
      </c>
      <c r="L206" s="42">
        <v>2481</v>
      </c>
      <c r="M206" s="42">
        <v>3411</v>
      </c>
      <c r="N206" s="42">
        <v>2183</v>
      </c>
      <c r="O206" s="42">
        <v>4457</v>
      </c>
      <c r="P206" s="42">
        <v>1460</v>
      </c>
      <c r="Q206" s="42">
        <v>3202</v>
      </c>
      <c r="R206" s="42">
        <v>1502</v>
      </c>
      <c r="S206" s="42">
        <v>4654</v>
      </c>
      <c r="T206" s="44">
        <v>7.3</v>
      </c>
      <c r="U206" s="44">
        <v>10.6</v>
      </c>
      <c r="V206" s="44">
        <v>8.5</v>
      </c>
      <c r="W206" s="44">
        <v>7.9</v>
      </c>
      <c r="X206" s="44">
        <v>10.7</v>
      </c>
      <c r="Y206" s="44">
        <v>8.1</v>
      </c>
      <c r="Z206" s="44">
        <v>9.3000000000000007</v>
      </c>
      <c r="AA206" s="44">
        <v>9.3000000000000007</v>
      </c>
      <c r="AB206" s="44">
        <v>9.8000000000000007</v>
      </c>
    </row>
    <row r="207" spans="1:28" ht="15" customHeight="1" x14ac:dyDescent="0.25">
      <c r="A207" s="41" t="s">
        <v>248</v>
      </c>
      <c r="B207" s="42">
        <v>34</v>
      </c>
      <c r="C207" s="42">
        <v>96</v>
      </c>
      <c r="D207" s="42">
        <v>120</v>
      </c>
      <c r="E207" s="42">
        <v>49</v>
      </c>
      <c r="F207" s="42">
        <v>192</v>
      </c>
      <c r="G207" s="42">
        <v>43</v>
      </c>
      <c r="H207" s="42">
        <v>112</v>
      </c>
      <c r="I207" s="42">
        <v>35</v>
      </c>
      <c r="J207" s="42">
        <v>103</v>
      </c>
      <c r="K207" s="42">
        <v>2499</v>
      </c>
      <c r="L207" s="42">
        <v>6801</v>
      </c>
      <c r="M207" s="42">
        <v>7930</v>
      </c>
      <c r="N207" s="42">
        <v>3534</v>
      </c>
      <c r="O207" s="42">
        <v>11570</v>
      </c>
      <c r="P207" s="42">
        <v>2771</v>
      </c>
      <c r="Q207" s="42">
        <v>5841</v>
      </c>
      <c r="R207" s="42">
        <v>2591</v>
      </c>
      <c r="S207" s="42">
        <v>7217</v>
      </c>
      <c r="T207" s="44">
        <v>13.4</v>
      </c>
      <c r="U207" s="44">
        <v>14.1</v>
      </c>
      <c r="V207" s="44">
        <v>15.2</v>
      </c>
      <c r="W207" s="44">
        <v>14</v>
      </c>
      <c r="X207" s="44">
        <v>16.600000000000001</v>
      </c>
      <c r="Y207" s="44">
        <v>15.4</v>
      </c>
      <c r="Z207" s="44">
        <v>19.100000000000001</v>
      </c>
      <c r="AA207" s="44">
        <v>13.5</v>
      </c>
      <c r="AB207" s="44">
        <v>14.3</v>
      </c>
    </row>
    <row r="208" spans="1:28" ht="15" customHeight="1" x14ac:dyDescent="0.25">
      <c r="A208" s="41" t="s">
        <v>258</v>
      </c>
      <c r="B208" s="42">
        <v>7</v>
      </c>
      <c r="C208" s="42">
        <v>38</v>
      </c>
      <c r="D208" s="42">
        <v>13</v>
      </c>
      <c r="E208" s="42">
        <v>6</v>
      </c>
      <c r="F208" s="42">
        <v>35</v>
      </c>
      <c r="G208" s="42">
        <v>10</v>
      </c>
      <c r="H208" s="42">
        <v>20</v>
      </c>
      <c r="I208" s="42">
        <v>14</v>
      </c>
      <c r="J208" s="42">
        <v>22</v>
      </c>
      <c r="K208" s="42">
        <v>287</v>
      </c>
      <c r="L208" s="42">
        <v>1514</v>
      </c>
      <c r="M208" s="42">
        <v>719</v>
      </c>
      <c r="N208" s="42">
        <v>234</v>
      </c>
      <c r="O208" s="42">
        <v>1118</v>
      </c>
      <c r="P208" s="42">
        <v>381</v>
      </c>
      <c r="Q208" s="42">
        <v>1069</v>
      </c>
      <c r="R208" s="42">
        <v>572</v>
      </c>
      <c r="S208" s="42">
        <v>1033</v>
      </c>
      <c r="T208" s="44">
        <v>22.7</v>
      </c>
      <c r="U208" s="44">
        <v>25.2</v>
      </c>
      <c r="V208" s="44">
        <v>18.399999999999999</v>
      </c>
      <c r="W208" s="44">
        <v>24.6</v>
      </c>
      <c r="X208" s="44">
        <v>30.9</v>
      </c>
      <c r="Y208" s="44">
        <v>26.2</v>
      </c>
      <c r="Z208" s="44">
        <v>18.899999999999999</v>
      </c>
      <c r="AA208" s="44">
        <v>24.4</v>
      </c>
      <c r="AB208" s="44">
        <v>21.7</v>
      </c>
    </row>
    <row r="209" spans="1:28" ht="27.95" customHeight="1" x14ac:dyDescent="0.25">
      <c r="A209" s="48" t="s">
        <v>259</v>
      </c>
      <c r="B209" s="42" t="s">
        <v>28</v>
      </c>
      <c r="C209" s="42">
        <v>9</v>
      </c>
      <c r="D209" s="42">
        <v>12</v>
      </c>
      <c r="E209" s="42" t="s">
        <v>28</v>
      </c>
      <c r="F209" s="42">
        <v>12</v>
      </c>
      <c r="G209" s="42" t="s">
        <v>28</v>
      </c>
      <c r="H209" s="42">
        <v>11</v>
      </c>
      <c r="I209" s="42" t="s">
        <v>28</v>
      </c>
      <c r="J209" s="42">
        <v>5</v>
      </c>
      <c r="K209" s="42" t="s">
        <v>28</v>
      </c>
      <c r="L209" s="42">
        <v>303</v>
      </c>
      <c r="M209" s="42">
        <v>484</v>
      </c>
      <c r="N209" s="42" t="s">
        <v>28</v>
      </c>
      <c r="O209" s="42">
        <v>462</v>
      </c>
      <c r="P209" s="42" t="s">
        <v>28</v>
      </c>
      <c r="Q209" s="42">
        <v>483</v>
      </c>
      <c r="R209" s="42" t="s">
        <v>28</v>
      </c>
      <c r="S209" s="42">
        <v>276</v>
      </c>
      <c r="T209" s="44" t="s">
        <v>28</v>
      </c>
      <c r="U209" s="44">
        <v>30.1</v>
      </c>
      <c r="V209" s="44">
        <v>24.8</v>
      </c>
      <c r="W209" s="44" t="s">
        <v>28</v>
      </c>
      <c r="X209" s="44">
        <v>26.5</v>
      </c>
      <c r="Y209" s="44" t="s">
        <v>28</v>
      </c>
      <c r="Z209" s="44">
        <v>23.4</v>
      </c>
      <c r="AA209" s="44" t="s">
        <v>28</v>
      </c>
      <c r="AB209" s="44">
        <v>18</v>
      </c>
    </row>
    <row r="210" spans="1:28" ht="15" customHeight="1" x14ac:dyDescent="0.25">
      <c r="A210" s="48" t="s">
        <v>260</v>
      </c>
      <c r="B210" s="42" t="s">
        <v>127</v>
      </c>
      <c r="C210" s="42" t="s">
        <v>127</v>
      </c>
      <c r="D210" s="42" t="s">
        <v>127</v>
      </c>
      <c r="E210" s="42" t="s">
        <v>127</v>
      </c>
      <c r="F210" s="42" t="s">
        <v>127</v>
      </c>
      <c r="G210" s="42" t="s">
        <v>127</v>
      </c>
      <c r="H210" s="42" t="s">
        <v>127</v>
      </c>
      <c r="I210" s="42" t="s">
        <v>127</v>
      </c>
      <c r="J210" s="42" t="s">
        <v>127</v>
      </c>
      <c r="K210" s="42" t="s">
        <v>127</v>
      </c>
      <c r="L210" s="42" t="s">
        <v>127</v>
      </c>
      <c r="M210" s="42" t="s">
        <v>127</v>
      </c>
      <c r="N210" s="42" t="s">
        <v>127</v>
      </c>
      <c r="O210" s="42" t="s">
        <v>127</v>
      </c>
      <c r="P210" s="42" t="s">
        <v>127</v>
      </c>
      <c r="Q210" s="42" t="s">
        <v>127</v>
      </c>
      <c r="R210" s="42" t="s">
        <v>127</v>
      </c>
      <c r="S210" s="42" t="s">
        <v>127</v>
      </c>
      <c r="T210" s="44" t="s">
        <v>127</v>
      </c>
      <c r="U210" s="44" t="s">
        <v>127</v>
      </c>
      <c r="V210" s="44" t="s">
        <v>127</v>
      </c>
      <c r="W210" s="44" t="s">
        <v>127</v>
      </c>
      <c r="X210" s="44" t="s">
        <v>127</v>
      </c>
      <c r="Y210" s="44" t="s">
        <v>127</v>
      </c>
      <c r="Z210" s="44" t="s">
        <v>127</v>
      </c>
      <c r="AA210" s="44" t="s">
        <v>127</v>
      </c>
      <c r="AB210" s="44" t="s">
        <v>127</v>
      </c>
    </row>
    <row r="211" spans="1:28" ht="33.950000000000003" customHeight="1" x14ac:dyDescent="0.25">
      <c r="A211" s="40" t="s">
        <v>261</v>
      </c>
      <c r="B211" s="45" t="s">
        <v>16</v>
      </c>
      <c r="C211" s="45" t="s">
        <v>16</v>
      </c>
      <c r="D211" s="45" t="s">
        <v>16</v>
      </c>
      <c r="E211" s="45" t="s">
        <v>16</v>
      </c>
      <c r="F211" s="45" t="s">
        <v>16</v>
      </c>
      <c r="G211" s="45" t="s">
        <v>16</v>
      </c>
      <c r="H211" s="45" t="s">
        <v>16</v>
      </c>
      <c r="I211" s="45" t="s">
        <v>16</v>
      </c>
      <c r="J211" s="45" t="s">
        <v>16</v>
      </c>
      <c r="K211" s="45" t="s">
        <v>16</v>
      </c>
      <c r="L211" s="45" t="s">
        <v>16</v>
      </c>
      <c r="M211" s="45" t="s">
        <v>16</v>
      </c>
      <c r="N211" s="45" t="s">
        <v>16</v>
      </c>
      <c r="O211" s="45" t="s">
        <v>16</v>
      </c>
      <c r="P211" s="45" t="s">
        <v>16</v>
      </c>
      <c r="Q211" s="45" t="s">
        <v>16</v>
      </c>
      <c r="R211" s="45" t="s">
        <v>16</v>
      </c>
      <c r="S211" s="45" t="s">
        <v>16</v>
      </c>
      <c r="T211" s="47" t="s">
        <v>16</v>
      </c>
      <c r="U211" s="47" t="s">
        <v>16</v>
      </c>
      <c r="V211" s="47" t="s">
        <v>16</v>
      </c>
      <c r="W211" s="47" t="s">
        <v>16</v>
      </c>
      <c r="X211" s="47" t="s">
        <v>16</v>
      </c>
      <c r="Y211" s="47" t="s">
        <v>16</v>
      </c>
      <c r="Z211" s="47" t="s">
        <v>16</v>
      </c>
      <c r="AA211" s="47" t="s">
        <v>16</v>
      </c>
      <c r="AB211" s="47" t="s">
        <v>16</v>
      </c>
    </row>
    <row r="212" spans="1:28" ht="15" customHeight="1" x14ac:dyDescent="0.25">
      <c r="A212" s="35" t="s">
        <v>262</v>
      </c>
      <c r="B212" s="42">
        <v>6</v>
      </c>
      <c r="C212" s="42">
        <v>15</v>
      </c>
      <c r="D212" s="42">
        <v>11</v>
      </c>
      <c r="E212" s="42">
        <v>6</v>
      </c>
      <c r="F212" s="42">
        <v>77</v>
      </c>
      <c r="G212" s="42">
        <v>12</v>
      </c>
      <c r="H212" s="42">
        <v>20</v>
      </c>
      <c r="I212" s="42">
        <v>7</v>
      </c>
      <c r="J212" s="42">
        <v>26</v>
      </c>
      <c r="K212" s="42">
        <v>400</v>
      </c>
      <c r="L212" s="42">
        <v>998</v>
      </c>
      <c r="M212" s="42">
        <v>632</v>
      </c>
      <c r="N212" s="42">
        <v>436</v>
      </c>
      <c r="O212" s="42">
        <v>4909</v>
      </c>
      <c r="P212" s="42">
        <v>844</v>
      </c>
      <c r="Q212" s="42">
        <v>1174</v>
      </c>
      <c r="R212" s="42">
        <v>498</v>
      </c>
      <c r="S212" s="42">
        <v>1955</v>
      </c>
      <c r="T212" s="44">
        <v>15.1</v>
      </c>
      <c r="U212" s="44">
        <v>15.3</v>
      </c>
      <c r="V212" s="44">
        <v>17.2</v>
      </c>
      <c r="W212" s="44">
        <v>12.7</v>
      </c>
      <c r="X212" s="44">
        <v>15.6</v>
      </c>
      <c r="Y212" s="44">
        <v>14.4</v>
      </c>
      <c r="Z212" s="44">
        <v>17.100000000000001</v>
      </c>
      <c r="AA212" s="44">
        <v>14.3</v>
      </c>
      <c r="AB212" s="44">
        <v>13.2</v>
      </c>
    </row>
    <row r="213" spans="1:28" ht="15" customHeight="1" x14ac:dyDescent="0.25">
      <c r="A213" s="41" t="s">
        <v>263</v>
      </c>
      <c r="B213" s="42">
        <v>4</v>
      </c>
      <c r="C213" s="42">
        <v>10</v>
      </c>
      <c r="D213" s="42">
        <v>21</v>
      </c>
      <c r="E213" s="42">
        <v>8</v>
      </c>
      <c r="F213" s="42">
        <v>17</v>
      </c>
      <c r="G213" s="42">
        <v>8</v>
      </c>
      <c r="H213" s="42">
        <v>19</v>
      </c>
      <c r="I213" s="42">
        <v>5</v>
      </c>
      <c r="J213" s="42">
        <v>13</v>
      </c>
      <c r="K213" s="42">
        <v>323</v>
      </c>
      <c r="L213" s="42">
        <v>922</v>
      </c>
      <c r="M213" s="42">
        <v>1756</v>
      </c>
      <c r="N213" s="42">
        <v>755</v>
      </c>
      <c r="O213" s="42">
        <v>1234</v>
      </c>
      <c r="P213" s="42">
        <v>530</v>
      </c>
      <c r="Q213" s="42">
        <v>1599</v>
      </c>
      <c r="R213" s="42">
        <v>554</v>
      </c>
      <c r="S213" s="42">
        <v>983</v>
      </c>
      <c r="T213" s="44">
        <v>13.8</v>
      </c>
      <c r="U213" s="44">
        <v>11.1</v>
      </c>
      <c r="V213" s="44">
        <v>11.9</v>
      </c>
      <c r="W213" s="44">
        <v>11</v>
      </c>
      <c r="X213" s="44">
        <v>14.1</v>
      </c>
      <c r="Y213" s="44">
        <v>15.5</v>
      </c>
      <c r="Z213" s="44">
        <v>12</v>
      </c>
      <c r="AA213" s="44">
        <v>9.3000000000000007</v>
      </c>
      <c r="AB213" s="44">
        <v>12.7</v>
      </c>
    </row>
    <row r="214" spans="1:28" ht="15" customHeight="1" x14ac:dyDescent="0.25">
      <c r="A214" s="41" t="s">
        <v>264</v>
      </c>
      <c r="B214" s="42">
        <v>18</v>
      </c>
      <c r="C214" s="42">
        <v>53</v>
      </c>
      <c r="D214" s="42">
        <v>47</v>
      </c>
      <c r="E214" s="42">
        <v>24</v>
      </c>
      <c r="F214" s="42">
        <v>43</v>
      </c>
      <c r="G214" s="42">
        <v>15</v>
      </c>
      <c r="H214" s="42">
        <v>28</v>
      </c>
      <c r="I214" s="42">
        <v>13</v>
      </c>
      <c r="J214" s="42">
        <v>31</v>
      </c>
      <c r="K214" s="42">
        <v>1529</v>
      </c>
      <c r="L214" s="42">
        <v>3389</v>
      </c>
      <c r="M214" s="42">
        <v>3668</v>
      </c>
      <c r="N214" s="42">
        <v>2051</v>
      </c>
      <c r="O214" s="42">
        <v>3328</v>
      </c>
      <c r="P214" s="42">
        <v>1295</v>
      </c>
      <c r="Q214" s="42">
        <v>1896</v>
      </c>
      <c r="R214" s="42">
        <v>1197</v>
      </c>
      <c r="S214" s="42">
        <v>2397</v>
      </c>
      <c r="T214" s="44">
        <v>11.8</v>
      </c>
      <c r="U214" s="44">
        <v>15.7</v>
      </c>
      <c r="V214" s="44">
        <v>12.7</v>
      </c>
      <c r="W214" s="44">
        <v>11.8</v>
      </c>
      <c r="X214" s="44">
        <v>13</v>
      </c>
      <c r="Y214" s="44">
        <v>11.3</v>
      </c>
      <c r="Z214" s="44">
        <v>14.5</v>
      </c>
      <c r="AA214" s="44">
        <v>10.5</v>
      </c>
      <c r="AB214" s="44">
        <v>13</v>
      </c>
    </row>
    <row r="215" spans="1:28" ht="15" customHeight="1" x14ac:dyDescent="0.25">
      <c r="A215" s="41" t="s">
        <v>224</v>
      </c>
      <c r="B215" s="42">
        <v>6</v>
      </c>
      <c r="C215" s="42">
        <v>31</v>
      </c>
      <c r="D215" s="42">
        <v>8</v>
      </c>
      <c r="E215" s="42">
        <v>6</v>
      </c>
      <c r="F215" s="42">
        <v>18</v>
      </c>
      <c r="G215" s="42">
        <v>5</v>
      </c>
      <c r="H215" s="42">
        <v>12</v>
      </c>
      <c r="I215" s="42" t="s">
        <v>28</v>
      </c>
      <c r="J215" s="42">
        <v>7</v>
      </c>
      <c r="K215" s="42" t="s">
        <v>28</v>
      </c>
      <c r="L215" s="42">
        <v>1628</v>
      </c>
      <c r="M215" s="42">
        <v>574</v>
      </c>
      <c r="N215" s="42">
        <v>332</v>
      </c>
      <c r="O215" s="42">
        <v>1148</v>
      </c>
      <c r="P215" s="42" t="s">
        <v>28</v>
      </c>
      <c r="Q215" s="42">
        <v>637</v>
      </c>
      <c r="R215" s="42">
        <v>482</v>
      </c>
      <c r="S215" s="42">
        <v>385</v>
      </c>
      <c r="T215" s="44">
        <v>17.3</v>
      </c>
      <c r="U215" s="44">
        <v>19</v>
      </c>
      <c r="V215" s="44">
        <v>14.5</v>
      </c>
      <c r="W215" s="44">
        <v>19.5</v>
      </c>
      <c r="X215" s="44">
        <v>15.6</v>
      </c>
      <c r="Y215" s="44" t="s">
        <v>28</v>
      </c>
      <c r="Z215" s="44">
        <v>19.2</v>
      </c>
      <c r="AA215" s="44">
        <v>19.2</v>
      </c>
      <c r="AB215" s="44">
        <v>17.399999999999999</v>
      </c>
    </row>
    <row r="216" spans="1:28" ht="15" customHeight="1" x14ac:dyDescent="0.25">
      <c r="A216" s="41" t="s">
        <v>265</v>
      </c>
      <c r="B216" s="42">
        <v>20</v>
      </c>
      <c r="C216" s="42">
        <v>68</v>
      </c>
      <c r="D216" s="42">
        <v>72</v>
      </c>
      <c r="E216" s="42">
        <v>23</v>
      </c>
      <c r="F216" s="42">
        <v>58</v>
      </c>
      <c r="G216" s="42">
        <v>18</v>
      </c>
      <c r="H216" s="42">
        <v>31</v>
      </c>
      <c r="I216" s="42">
        <v>15</v>
      </c>
      <c r="J216" s="42">
        <v>45</v>
      </c>
      <c r="K216" s="42">
        <v>1818</v>
      </c>
      <c r="L216" s="42">
        <v>4624</v>
      </c>
      <c r="M216" s="42">
        <v>5083</v>
      </c>
      <c r="N216" s="42">
        <v>1583</v>
      </c>
      <c r="O216" s="42">
        <v>3247</v>
      </c>
      <c r="P216" s="42">
        <v>1077</v>
      </c>
      <c r="Q216" s="42">
        <v>1460</v>
      </c>
      <c r="R216" s="42">
        <v>1150</v>
      </c>
      <c r="S216" s="42">
        <v>2395</v>
      </c>
      <c r="T216" s="44">
        <v>10.9</v>
      </c>
      <c r="U216" s="44">
        <v>14.6</v>
      </c>
      <c r="V216" s="44">
        <v>14.3</v>
      </c>
      <c r="W216" s="44">
        <v>14.8</v>
      </c>
      <c r="X216" s="44">
        <v>17.8</v>
      </c>
      <c r="Y216" s="44">
        <v>16.899999999999999</v>
      </c>
      <c r="Z216" s="44">
        <v>21.2</v>
      </c>
      <c r="AA216" s="44">
        <v>13</v>
      </c>
      <c r="AB216" s="44">
        <v>18.600000000000001</v>
      </c>
    </row>
    <row r="217" spans="1:28" ht="15" customHeight="1" x14ac:dyDescent="0.25">
      <c r="A217" s="41" t="s">
        <v>266</v>
      </c>
      <c r="B217" s="42">
        <v>25</v>
      </c>
      <c r="C217" s="42">
        <v>85</v>
      </c>
      <c r="D217" s="42">
        <v>111</v>
      </c>
      <c r="E217" s="42">
        <v>45</v>
      </c>
      <c r="F217" s="42">
        <v>178</v>
      </c>
      <c r="G217" s="42">
        <v>48</v>
      </c>
      <c r="H217" s="42">
        <v>119</v>
      </c>
      <c r="I217" s="42">
        <v>43</v>
      </c>
      <c r="J217" s="42">
        <v>117</v>
      </c>
      <c r="K217" s="42">
        <v>1769</v>
      </c>
      <c r="L217" s="42">
        <v>5417</v>
      </c>
      <c r="M217" s="42">
        <v>7347</v>
      </c>
      <c r="N217" s="42">
        <v>3547</v>
      </c>
      <c r="O217" s="42">
        <v>10168</v>
      </c>
      <c r="P217" s="42">
        <v>3136</v>
      </c>
      <c r="Q217" s="42">
        <v>6745</v>
      </c>
      <c r="R217" s="42">
        <v>2967</v>
      </c>
      <c r="S217" s="42">
        <v>8092</v>
      </c>
      <c r="T217" s="44">
        <v>13.9</v>
      </c>
      <c r="U217" s="44">
        <v>15.8</v>
      </c>
      <c r="V217" s="44">
        <v>15.1</v>
      </c>
      <c r="W217" s="44">
        <v>12.8</v>
      </c>
      <c r="X217" s="44">
        <v>17.5</v>
      </c>
      <c r="Y217" s="44">
        <v>15.2</v>
      </c>
      <c r="Z217" s="44">
        <v>17.7</v>
      </c>
      <c r="AA217" s="44">
        <v>14.5</v>
      </c>
      <c r="AB217" s="44">
        <v>14.5</v>
      </c>
    </row>
    <row r="218" spans="1:28" ht="15" customHeight="1" x14ac:dyDescent="0.25">
      <c r="A218" s="41" t="s">
        <v>173</v>
      </c>
      <c r="B218" s="42" t="s">
        <v>28</v>
      </c>
      <c r="C218" s="42" t="s">
        <v>28</v>
      </c>
      <c r="D218" s="42" t="s">
        <v>28</v>
      </c>
      <c r="E218" s="42" t="s">
        <v>28</v>
      </c>
      <c r="F218" s="42" t="s">
        <v>28</v>
      </c>
      <c r="G218" s="42" t="s">
        <v>28</v>
      </c>
      <c r="H218" s="42" t="s">
        <v>28</v>
      </c>
      <c r="I218" s="42" t="s">
        <v>28</v>
      </c>
      <c r="J218" s="42">
        <v>5</v>
      </c>
      <c r="K218" s="42" t="s">
        <v>28</v>
      </c>
      <c r="L218" s="42" t="s">
        <v>28</v>
      </c>
      <c r="M218" s="42" t="s">
        <v>28</v>
      </c>
      <c r="N218" s="42" t="s">
        <v>28</v>
      </c>
      <c r="O218" s="42" t="s">
        <v>28</v>
      </c>
      <c r="P218" s="42" t="s">
        <v>28</v>
      </c>
      <c r="Q218" s="42" t="s">
        <v>28</v>
      </c>
      <c r="R218" s="42" t="s">
        <v>28</v>
      </c>
      <c r="S218" s="42">
        <v>242</v>
      </c>
      <c r="T218" s="44" t="s">
        <v>28</v>
      </c>
      <c r="U218" s="44" t="s">
        <v>28</v>
      </c>
      <c r="V218" s="44" t="s">
        <v>28</v>
      </c>
      <c r="W218" s="44" t="s">
        <v>28</v>
      </c>
      <c r="X218" s="44" t="s">
        <v>28</v>
      </c>
      <c r="Y218" s="44" t="s">
        <v>28</v>
      </c>
      <c r="Z218" s="44" t="s">
        <v>28</v>
      </c>
      <c r="AA218" s="44" t="s">
        <v>28</v>
      </c>
      <c r="AB218" s="44">
        <v>19.8</v>
      </c>
    </row>
    <row r="219" spans="1:28" ht="33.950000000000003" customHeight="1" x14ac:dyDescent="0.25">
      <c r="A219" s="40" t="s">
        <v>267</v>
      </c>
      <c r="B219" s="45" t="s">
        <v>16</v>
      </c>
      <c r="C219" s="45" t="s">
        <v>16</v>
      </c>
      <c r="D219" s="45" t="s">
        <v>16</v>
      </c>
      <c r="E219" s="45" t="s">
        <v>16</v>
      </c>
      <c r="F219" s="45" t="s">
        <v>16</v>
      </c>
      <c r="G219" s="45" t="s">
        <v>16</v>
      </c>
      <c r="H219" s="45" t="s">
        <v>16</v>
      </c>
      <c r="I219" s="45" t="s">
        <v>16</v>
      </c>
      <c r="J219" s="45" t="s">
        <v>16</v>
      </c>
      <c r="K219" s="45" t="s">
        <v>16</v>
      </c>
      <c r="L219" s="45" t="s">
        <v>16</v>
      </c>
      <c r="M219" s="45" t="s">
        <v>16</v>
      </c>
      <c r="N219" s="45" t="s">
        <v>16</v>
      </c>
      <c r="O219" s="45" t="s">
        <v>16</v>
      </c>
      <c r="P219" s="45" t="s">
        <v>16</v>
      </c>
      <c r="Q219" s="45" t="s">
        <v>16</v>
      </c>
      <c r="R219" s="45" t="s">
        <v>16</v>
      </c>
      <c r="S219" s="45" t="s">
        <v>16</v>
      </c>
      <c r="T219" s="47" t="s">
        <v>16</v>
      </c>
      <c r="U219" s="47" t="s">
        <v>16</v>
      </c>
      <c r="V219" s="47" t="s">
        <v>16</v>
      </c>
      <c r="W219" s="47" t="s">
        <v>16</v>
      </c>
      <c r="X219" s="47" t="s">
        <v>16</v>
      </c>
      <c r="Y219" s="47" t="s">
        <v>16</v>
      </c>
      <c r="Z219" s="47" t="s">
        <v>16</v>
      </c>
      <c r="AA219" s="47" t="s">
        <v>16</v>
      </c>
      <c r="AB219" s="47" t="s">
        <v>16</v>
      </c>
    </row>
    <row r="220" spans="1:28" ht="27.95" customHeight="1" x14ac:dyDescent="0.25">
      <c r="A220" s="35" t="s">
        <v>268</v>
      </c>
      <c r="B220" s="42">
        <v>6</v>
      </c>
      <c r="C220" s="42">
        <v>17</v>
      </c>
      <c r="D220" s="42">
        <v>31</v>
      </c>
      <c r="E220" s="42">
        <v>14</v>
      </c>
      <c r="F220" s="42">
        <v>39</v>
      </c>
      <c r="G220" s="42">
        <v>13</v>
      </c>
      <c r="H220" s="42">
        <v>29</v>
      </c>
      <c r="I220" s="42">
        <v>8</v>
      </c>
      <c r="J220" s="42">
        <v>29</v>
      </c>
      <c r="K220" s="42">
        <v>451</v>
      </c>
      <c r="L220" s="42">
        <v>1244</v>
      </c>
      <c r="M220" s="42">
        <v>2854</v>
      </c>
      <c r="N220" s="42">
        <v>1493</v>
      </c>
      <c r="O220" s="42">
        <v>2574</v>
      </c>
      <c r="P220" s="42">
        <v>891</v>
      </c>
      <c r="Q220" s="42">
        <v>2429</v>
      </c>
      <c r="R220" s="42">
        <v>668</v>
      </c>
      <c r="S220" s="42">
        <v>2160</v>
      </c>
      <c r="T220" s="44">
        <v>13.6</v>
      </c>
      <c r="U220" s="44">
        <v>13.7</v>
      </c>
      <c r="V220" s="44">
        <v>10.8</v>
      </c>
      <c r="W220" s="44">
        <v>9.3000000000000007</v>
      </c>
      <c r="X220" s="44">
        <v>15</v>
      </c>
      <c r="Y220" s="44">
        <v>14.6</v>
      </c>
      <c r="Z220" s="44">
        <v>12</v>
      </c>
      <c r="AA220" s="44">
        <v>12.4</v>
      </c>
      <c r="AB220" s="44">
        <v>13.6</v>
      </c>
    </row>
    <row r="221" spans="1:28" ht="15" customHeight="1" x14ac:dyDescent="0.25">
      <c r="A221" s="35" t="s">
        <v>262</v>
      </c>
      <c r="B221" s="42">
        <v>5</v>
      </c>
      <c r="C221" s="42">
        <v>16</v>
      </c>
      <c r="D221" s="42">
        <v>11</v>
      </c>
      <c r="E221" s="42">
        <v>6</v>
      </c>
      <c r="F221" s="42">
        <v>79</v>
      </c>
      <c r="G221" s="42">
        <v>11</v>
      </c>
      <c r="H221" s="42">
        <v>22</v>
      </c>
      <c r="I221" s="42">
        <v>9</v>
      </c>
      <c r="J221" s="42">
        <v>29</v>
      </c>
      <c r="K221" s="42">
        <v>388</v>
      </c>
      <c r="L221" s="42">
        <v>1103</v>
      </c>
      <c r="M221" s="42">
        <v>604</v>
      </c>
      <c r="N221" s="42">
        <v>421</v>
      </c>
      <c r="O221" s="42">
        <v>4925</v>
      </c>
      <c r="P221" s="42">
        <v>839</v>
      </c>
      <c r="Q221" s="42">
        <v>1344</v>
      </c>
      <c r="R221" s="42">
        <v>672</v>
      </c>
      <c r="S221" s="42">
        <v>2244</v>
      </c>
      <c r="T221" s="44">
        <v>14.1</v>
      </c>
      <c r="U221" s="44">
        <v>14.6</v>
      </c>
      <c r="V221" s="44">
        <v>17.600000000000001</v>
      </c>
      <c r="W221" s="44">
        <v>14.7</v>
      </c>
      <c r="X221" s="44">
        <v>16</v>
      </c>
      <c r="Y221" s="44">
        <v>13.5</v>
      </c>
      <c r="Z221" s="44">
        <v>16.5</v>
      </c>
      <c r="AA221" s="44">
        <v>13.3</v>
      </c>
      <c r="AB221" s="44">
        <v>13.1</v>
      </c>
    </row>
    <row r="222" spans="1:28" ht="15" customHeight="1" x14ac:dyDescent="0.25">
      <c r="A222" s="41" t="s">
        <v>269</v>
      </c>
      <c r="B222" s="42">
        <v>13</v>
      </c>
      <c r="C222" s="42">
        <v>33</v>
      </c>
      <c r="D222" s="42">
        <v>27</v>
      </c>
      <c r="E222" s="42">
        <v>10</v>
      </c>
      <c r="F222" s="42">
        <v>34</v>
      </c>
      <c r="G222" s="42">
        <v>11</v>
      </c>
      <c r="H222" s="42">
        <v>11</v>
      </c>
      <c r="I222" s="42">
        <v>7</v>
      </c>
      <c r="J222" s="42">
        <v>13</v>
      </c>
      <c r="K222" s="42">
        <v>1035</v>
      </c>
      <c r="L222" s="42">
        <v>2810</v>
      </c>
      <c r="M222" s="42">
        <v>1806</v>
      </c>
      <c r="N222" s="42">
        <v>779</v>
      </c>
      <c r="O222" s="42">
        <v>2484</v>
      </c>
      <c r="P222" s="42">
        <v>808</v>
      </c>
      <c r="Q222" s="42">
        <v>971</v>
      </c>
      <c r="R222" s="42">
        <v>565</v>
      </c>
      <c r="S222" s="42">
        <v>1162</v>
      </c>
      <c r="T222" s="44">
        <v>13</v>
      </c>
      <c r="U222" s="44">
        <v>11.8</v>
      </c>
      <c r="V222" s="44">
        <v>15.2</v>
      </c>
      <c r="W222" s="44">
        <v>12.7</v>
      </c>
      <c r="X222" s="44">
        <v>13.9</v>
      </c>
      <c r="Y222" s="44">
        <v>13.2</v>
      </c>
      <c r="Z222" s="44">
        <v>11.6</v>
      </c>
      <c r="AA222" s="44">
        <v>12</v>
      </c>
      <c r="AB222" s="44">
        <v>11.2</v>
      </c>
    </row>
    <row r="223" spans="1:28" ht="15" customHeight="1" x14ac:dyDescent="0.25">
      <c r="A223" s="41" t="s">
        <v>225</v>
      </c>
      <c r="B223" s="36" t="s">
        <v>28</v>
      </c>
      <c r="C223" s="36" t="s">
        <v>28</v>
      </c>
      <c r="D223" s="36">
        <v>7</v>
      </c>
      <c r="E223" s="36" t="s">
        <v>28</v>
      </c>
      <c r="F223" s="36">
        <v>19</v>
      </c>
      <c r="G223" s="36">
        <v>6</v>
      </c>
      <c r="H223" s="36">
        <v>14</v>
      </c>
      <c r="I223" s="36" t="s">
        <v>28</v>
      </c>
      <c r="J223" s="36">
        <v>6</v>
      </c>
      <c r="K223" s="36" t="s">
        <v>28</v>
      </c>
      <c r="L223" s="36">
        <v>656</v>
      </c>
      <c r="M223" s="36">
        <v>420</v>
      </c>
      <c r="N223" s="36" t="s">
        <v>28</v>
      </c>
      <c r="O223" s="36">
        <v>1202</v>
      </c>
      <c r="P223" s="36" t="s">
        <v>28</v>
      </c>
      <c r="Q223" s="36">
        <v>773</v>
      </c>
      <c r="R223" s="36" t="s">
        <v>28</v>
      </c>
      <c r="S223" s="36">
        <v>329</v>
      </c>
      <c r="T223" s="38" t="s">
        <v>28</v>
      </c>
      <c r="U223" s="38">
        <v>29</v>
      </c>
      <c r="V223" s="38">
        <v>17.8</v>
      </c>
      <c r="W223" s="38" t="s">
        <v>28</v>
      </c>
      <c r="X223" s="38">
        <v>15.8</v>
      </c>
      <c r="Y223" s="38" t="s">
        <v>28</v>
      </c>
      <c r="Z223" s="38">
        <v>18.5</v>
      </c>
      <c r="AA223" s="38">
        <v>20.3</v>
      </c>
      <c r="AB223" s="38">
        <v>17</v>
      </c>
    </row>
    <row r="224" spans="1:28" ht="15" customHeight="1" x14ac:dyDescent="0.25">
      <c r="A224" s="41" t="s">
        <v>270</v>
      </c>
      <c r="B224" s="36">
        <v>13</v>
      </c>
      <c r="C224" s="36">
        <v>51</v>
      </c>
      <c r="D224" s="36">
        <v>57</v>
      </c>
      <c r="E224" s="36">
        <v>21</v>
      </c>
      <c r="F224" s="36">
        <v>82</v>
      </c>
      <c r="G224" s="36">
        <v>15</v>
      </c>
      <c r="H224" s="36">
        <v>40</v>
      </c>
      <c r="I224" s="36">
        <v>13</v>
      </c>
      <c r="J224" s="36">
        <v>36</v>
      </c>
      <c r="K224" s="36">
        <v>783</v>
      </c>
      <c r="L224" s="36">
        <v>2706</v>
      </c>
      <c r="M224" s="36">
        <v>3484</v>
      </c>
      <c r="N224" s="36">
        <v>991</v>
      </c>
      <c r="O224" s="36">
        <v>3884</v>
      </c>
      <c r="P224" s="36">
        <v>831</v>
      </c>
      <c r="Q224" s="36">
        <v>1746</v>
      </c>
      <c r="R224" s="36">
        <v>920</v>
      </c>
      <c r="S224" s="36">
        <v>1697</v>
      </c>
      <c r="T224" s="38">
        <v>16</v>
      </c>
      <c r="U224" s="38">
        <v>18.8</v>
      </c>
      <c r="V224" s="38">
        <v>16.5</v>
      </c>
      <c r="W224" s="38">
        <v>21.3</v>
      </c>
      <c r="X224" s="38">
        <v>21</v>
      </c>
      <c r="Y224" s="38">
        <v>18.2</v>
      </c>
      <c r="Z224" s="38">
        <v>23.1</v>
      </c>
      <c r="AA224" s="38">
        <v>14</v>
      </c>
      <c r="AB224" s="38">
        <v>21.4</v>
      </c>
    </row>
    <row r="225" spans="1:28" ht="15" customHeight="1" x14ac:dyDescent="0.25">
      <c r="A225" s="41" t="s">
        <v>271</v>
      </c>
      <c r="B225" s="36">
        <v>26</v>
      </c>
      <c r="C225" s="36">
        <v>106</v>
      </c>
      <c r="D225" s="36">
        <v>107</v>
      </c>
      <c r="E225" s="36">
        <v>41</v>
      </c>
      <c r="F225" s="36">
        <v>162</v>
      </c>
      <c r="G225" s="36">
        <v>43</v>
      </c>
      <c r="H225" s="36">
        <v>101</v>
      </c>
      <c r="I225" s="36">
        <v>38</v>
      </c>
      <c r="J225" s="36">
        <v>102</v>
      </c>
      <c r="K225" s="36">
        <v>2062</v>
      </c>
      <c r="L225" s="36">
        <v>6635</v>
      </c>
      <c r="M225" s="36">
        <v>6839</v>
      </c>
      <c r="N225" s="36">
        <v>2977</v>
      </c>
      <c r="O225" s="36">
        <v>9119</v>
      </c>
      <c r="P225" s="36">
        <v>2686</v>
      </c>
      <c r="Q225" s="36">
        <v>5379</v>
      </c>
      <c r="R225" s="36">
        <v>2314</v>
      </c>
      <c r="S225" s="36">
        <v>7141</v>
      </c>
      <c r="T225" s="38">
        <v>12.8</v>
      </c>
      <c r="U225" s="38">
        <v>16</v>
      </c>
      <c r="V225" s="38">
        <v>15.6</v>
      </c>
      <c r="W225" s="38">
        <v>13.7</v>
      </c>
      <c r="X225" s="38">
        <v>17.8</v>
      </c>
      <c r="Y225" s="38">
        <v>15.8</v>
      </c>
      <c r="Z225" s="38">
        <v>18.8</v>
      </c>
      <c r="AA225" s="38">
        <v>16.3</v>
      </c>
      <c r="AB225" s="38">
        <v>14.3</v>
      </c>
    </row>
    <row r="226" spans="1:28" ht="15" customHeight="1" x14ac:dyDescent="0.25">
      <c r="A226" s="41" t="s">
        <v>272</v>
      </c>
      <c r="B226" s="36" t="s">
        <v>28</v>
      </c>
      <c r="C226" s="36" t="s">
        <v>28</v>
      </c>
      <c r="D226" s="36" t="s">
        <v>28</v>
      </c>
      <c r="E226" s="36" t="s">
        <v>127</v>
      </c>
      <c r="F226" s="36">
        <v>5</v>
      </c>
      <c r="G226" s="36" t="s">
        <v>127</v>
      </c>
      <c r="H226" s="36" t="s">
        <v>28</v>
      </c>
      <c r="I226" s="36">
        <v>8</v>
      </c>
      <c r="J226" s="36">
        <v>10</v>
      </c>
      <c r="K226" s="36" t="s">
        <v>28</v>
      </c>
      <c r="L226" s="36" t="s">
        <v>28</v>
      </c>
      <c r="M226" s="36" t="s">
        <v>28</v>
      </c>
      <c r="N226" s="36" t="s">
        <v>127</v>
      </c>
      <c r="O226" s="36">
        <v>226</v>
      </c>
      <c r="P226" s="36" t="s">
        <v>127</v>
      </c>
      <c r="Q226" s="36" t="s">
        <v>28</v>
      </c>
      <c r="R226" s="36">
        <v>722</v>
      </c>
      <c r="S226" s="36">
        <v>617</v>
      </c>
      <c r="T226" s="38" t="s">
        <v>28</v>
      </c>
      <c r="U226" s="38" t="s">
        <v>28</v>
      </c>
      <c r="V226" s="38" t="s">
        <v>28</v>
      </c>
      <c r="W226" s="38" t="s">
        <v>127</v>
      </c>
      <c r="X226" s="38">
        <v>23.1</v>
      </c>
      <c r="Y226" s="38" t="s">
        <v>127</v>
      </c>
      <c r="Z226" s="38" t="s">
        <v>28</v>
      </c>
      <c r="AA226" s="38">
        <v>10.7</v>
      </c>
      <c r="AB226" s="38">
        <v>16.3</v>
      </c>
    </row>
    <row r="227" spans="1:28" ht="15" customHeight="1" x14ac:dyDescent="0.25">
      <c r="A227" s="41" t="s">
        <v>173</v>
      </c>
      <c r="B227" s="36" t="s">
        <v>28</v>
      </c>
      <c r="C227" s="36" t="s">
        <v>28</v>
      </c>
      <c r="D227" s="36" t="s">
        <v>28</v>
      </c>
      <c r="E227" s="36" t="s">
        <v>28</v>
      </c>
      <c r="F227" s="36" t="s">
        <v>28</v>
      </c>
      <c r="G227" s="36" t="s">
        <v>127</v>
      </c>
      <c r="H227" s="36" t="s">
        <v>28</v>
      </c>
      <c r="I227" s="36" t="s">
        <v>28</v>
      </c>
      <c r="J227" s="36" t="s">
        <v>28</v>
      </c>
      <c r="K227" s="36" t="s">
        <v>28</v>
      </c>
      <c r="L227" s="36" t="s">
        <v>28</v>
      </c>
      <c r="M227" s="36" t="s">
        <v>28</v>
      </c>
      <c r="N227" s="36" t="s">
        <v>28</v>
      </c>
      <c r="O227" s="36" t="s">
        <v>28</v>
      </c>
      <c r="P227" s="36" t="s">
        <v>127</v>
      </c>
      <c r="Q227" s="36" t="s">
        <v>28</v>
      </c>
      <c r="R227" s="36" t="s">
        <v>28</v>
      </c>
      <c r="S227" s="36" t="s">
        <v>28</v>
      </c>
      <c r="T227" s="38" t="s">
        <v>28</v>
      </c>
      <c r="U227" s="38" t="s">
        <v>28</v>
      </c>
      <c r="V227" s="38" t="s">
        <v>28</v>
      </c>
      <c r="W227" s="38" t="s">
        <v>28</v>
      </c>
      <c r="X227" s="38" t="s">
        <v>28</v>
      </c>
      <c r="Y227" s="38" t="s">
        <v>127</v>
      </c>
      <c r="Z227" s="38" t="s">
        <v>28</v>
      </c>
      <c r="AA227" s="38" t="s">
        <v>28</v>
      </c>
      <c r="AB227" s="38" t="s">
        <v>28</v>
      </c>
    </row>
    <row r="228" spans="1:28" ht="33.950000000000003" customHeight="1" x14ac:dyDescent="0.25">
      <c r="A228" s="40" t="s">
        <v>273</v>
      </c>
      <c r="B228" s="45" t="s">
        <v>16</v>
      </c>
      <c r="C228" s="45" t="s">
        <v>16</v>
      </c>
      <c r="D228" s="45" t="s">
        <v>16</v>
      </c>
      <c r="E228" s="45" t="s">
        <v>16</v>
      </c>
      <c r="F228" s="45" t="s">
        <v>16</v>
      </c>
      <c r="G228" s="45" t="s">
        <v>16</v>
      </c>
      <c r="H228" s="45" t="s">
        <v>16</v>
      </c>
      <c r="I228" s="45" t="s">
        <v>16</v>
      </c>
      <c r="J228" s="45" t="s">
        <v>16</v>
      </c>
      <c r="K228" s="45" t="s">
        <v>16</v>
      </c>
      <c r="L228" s="45" t="s">
        <v>16</v>
      </c>
      <c r="M228" s="45" t="s">
        <v>16</v>
      </c>
      <c r="N228" s="45" t="s">
        <v>16</v>
      </c>
      <c r="O228" s="45" t="s">
        <v>16</v>
      </c>
      <c r="P228" s="45" t="s">
        <v>16</v>
      </c>
      <c r="Q228" s="45" t="s">
        <v>16</v>
      </c>
      <c r="R228" s="45" t="s">
        <v>16</v>
      </c>
      <c r="S228" s="45" t="s">
        <v>16</v>
      </c>
      <c r="T228" s="47" t="s">
        <v>16</v>
      </c>
      <c r="U228" s="47" t="s">
        <v>16</v>
      </c>
      <c r="V228" s="47" t="s">
        <v>16</v>
      </c>
      <c r="W228" s="47" t="s">
        <v>16</v>
      </c>
      <c r="X228" s="47" t="s">
        <v>16</v>
      </c>
      <c r="Y228" s="47" t="s">
        <v>16</v>
      </c>
      <c r="Z228" s="47" t="s">
        <v>16</v>
      </c>
      <c r="AA228" s="47" t="s">
        <v>16</v>
      </c>
      <c r="AB228" s="47" t="s">
        <v>16</v>
      </c>
    </row>
    <row r="229" spans="1:28" ht="15" customHeight="1" x14ac:dyDescent="0.25">
      <c r="A229" s="35" t="s">
        <v>274</v>
      </c>
      <c r="B229" s="42">
        <v>19</v>
      </c>
      <c r="C229" s="42">
        <v>50</v>
      </c>
      <c r="D229" s="42">
        <v>65</v>
      </c>
      <c r="E229" s="42">
        <v>28</v>
      </c>
      <c r="F229" s="42">
        <v>84</v>
      </c>
      <c r="G229" s="42">
        <v>26</v>
      </c>
      <c r="H229" s="42">
        <v>52</v>
      </c>
      <c r="I229" s="42">
        <v>16</v>
      </c>
      <c r="J229" s="42">
        <v>47</v>
      </c>
      <c r="K229" s="42">
        <v>1646</v>
      </c>
      <c r="L229" s="42">
        <v>3709</v>
      </c>
      <c r="M229" s="42">
        <v>4404</v>
      </c>
      <c r="N229" s="42">
        <v>2482</v>
      </c>
      <c r="O229" s="42">
        <v>5204</v>
      </c>
      <c r="P229" s="42">
        <v>1616</v>
      </c>
      <c r="Q229" s="42">
        <v>3228</v>
      </c>
      <c r="R229" s="42">
        <v>1365</v>
      </c>
      <c r="S229" s="42">
        <v>3903</v>
      </c>
      <c r="T229" s="44">
        <v>11.6</v>
      </c>
      <c r="U229" s="44">
        <v>13.5</v>
      </c>
      <c r="V229" s="44">
        <v>14.8</v>
      </c>
      <c r="W229" s="44">
        <v>11.3</v>
      </c>
      <c r="X229" s="44">
        <v>16.100000000000001</v>
      </c>
      <c r="Y229" s="44">
        <v>16.100000000000001</v>
      </c>
      <c r="Z229" s="44">
        <v>16</v>
      </c>
      <c r="AA229" s="44">
        <v>11.9</v>
      </c>
      <c r="AB229" s="44">
        <v>12.1</v>
      </c>
    </row>
    <row r="230" spans="1:28" ht="15" customHeight="1" x14ac:dyDescent="0.25">
      <c r="A230" s="35" t="s">
        <v>275</v>
      </c>
      <c r="B230" s="42">
        <v>20</v>
      </c>
      <c r="C230" s="42">
        <v>67</v>
      </c>
      <c r="D230" s="42">
        <v>66</v>
      </c>
      <c r="E230" s="42">
        <v>32</v>
      </c>
      <c r="F230" s="42">
        <v>102</v>
      </c>
      <c r="G230" s="42">
        <v>30</v>
      </c>
      <c r="H230" s="42">
        <v>59</v>
      </c>
      <c r="I230" s="42">
        <v>18</v>
      </c>
      <c r="J230" s="42">
        <v>52</v>
      </c>
      <c r="K230" s="42">
        <v>1516</v>
      </c>
      <c r="L230" s="42">
        <v>4798</v>
      </c>
      <c r="M230" s="42">
        <v>4620</v>
      </c>
      <c r="N230" s="42">
        <v>2591</v>
      </c>
      <c r="O230" s="42">
        <v>6455</v>
      </c>
      <c r="P230" s="42">
        <v>1755</v>
      </c>
      <c r="Q230" s="42">
        <v>3458</v>
      </c>
      <c r="R230" s="42">
        <v>1440</v>
      </c>
      <c r="S230" s="42">
        <v>4070</v>
      </c>
      <c r="T230" s="44">
        <v>13.5</v>
      </c>
      <c r="U230" s="44">
        <v>13.9</v>
      </c>
      <c r="V230" s="44">
        <v>14.2</v>
      </c>
      <c r="W230" s="44">
        <v>12.3</v>
      </c>
      <c r="X230" s="44">
        <v>15.8</v>
      </c>
      <c r="Y230" s="44">
        <v>16.899999999999999</v>
      </c>
      <c r="Z230" s="44">
        <v>17</v>
      </c>
      <c r="AA230" s="44">
        <v>12.5</v>
      </c>
      <c r="AB230" s="44">
        <v>12.9</v>
      </c>
    </row>
    <row r="231" spans="1:28" ht="24" customHeight="1" x14ac:dyDescent="0.25">
      <c r="A231" s="40" t="s">
        <v>276</v>
      </c>
      <c r="B231" s="45" t="s">
        <v>16</v>
      </c>
      <c r="C231" s="45" t="s">
        <v>16</v>
      </c>
      <c r="D231" s="45" t="s">
        <v>16</v>
      </c>
      <c r="E231" s="45" t="s">
        <v>16</v>
      </c>
      <c r="F231" s="45" t="s">
        <v>16</v>
      </c>
      <c r="G231" s="45" t="s">
        <v>16</v>
      </c>
      <c r="H231" s="45" t="s">
        <v>16</v>
      </c>
      <c r="I231" s="45" t="s">
        <v>16</v>
      </c>
      <c r="J231" s="45" t="s">
        <v>16</v>
      </c>
      <c r="K231" s="45" t="s">
        <v>16</v>
      </c>
      <c r="L231" s="45" t="s">
        <v>16</v>
      </c>
      <c r="M231" s="45" t="s">
        <v>16</v>
      </c>
      <c r="N231" s="45" t="s">
        <v>16</v>
      </c>
      <c r="O231" s="45" t="s">
        <v>16</v>
      </c>
      <c r="P231" s="45" t="s">
        <v>16</v>
      </c>
      <c r="Q231" s="45" t="s">
        <v>16</v>
      </c>
      <c r="R231" s="45" t="s">
        <v>16</v>
      </c>
      <c r="S231" s="45" t="s">
        <v>16</v>
      </c>
      <c r="T231" s="47" t="s">
        <v>16</v>
      </c>
      <c r="U231" s="47" t="s">
        <v>16</v>
      </c>
      <c r="V231" s="47" t="s">
        <v>16</v>
      </c>
      <c r="W231" s="47" t="s">
        <v>16</v>
      </c>
      <c r="X231" s="47" t="s">
        <v>16</v>
      </c>
      <c r="Y231" s="47" t="s">
        <v>16</v>
      </c>
      <c r="Z231" s="47" t="s">
        <v>16</v>
      </c>
      <c r="AA231" s="47" t="s">
        <v>16</v>
      </c>
      <c r="AB231" s="47" t="s">
        <v>16</v>
      </c>
    </row>
    <row r="232" spans="1:28" ht="15" customHeight="1" x14ac:dyDescent="0.25">
      <c r="A232" s="35" t="s">
        <v>277</v>
      </c>
      <c r="B232" s="42">
        <v>30</v>
      </c>
      <c r="C232" s="42">
        <v>107</v>
      </c>
      <c r="D232" s="42">
        <v>110</v>
      </c>
      <c r="E232" s="42">
        <v>47</v>
      </c>
      <c r="F232" s="42">
        <v>158</v>
      </c>
      <c r="G232" s="42">
        <v>44</v>
      </c>
      <c r="H232" s="42">
        <v>100</v>
      </c>
      <c r="I232" s="42">
        <v>39</v>
      </c>
      <c r="J232" s="42">
        <v>93</v>
      </c>
      <c r="K232" s="42">
        <v>2487</v>
      </c>
      <c r="L232" s="42">
        <v>6641</v>
      </c>
      <c r="M232" s="42">
        <v>7606</v>
      </c>
      <c r="N232" s="42">
        <v>3710</v>
      </c>
      <c r="O232" s="42">
        <v>8889</v>
      </c>
      <c r="P232" s="42">
        <v>2745</v>
      </c>
      <c r="Q232" s="42">
        <v>5826</v>
      </c>
      <c r="R232" s="42">
        <v>2573</v>
      </c>
      <c r="S232" s="42">
        <v>7058</v>
      </c>
      <c r="T232" s="44">
        <v>11.9</v>
      </c>
      <c r="U232" s="44">
        <v>16.100000000000001</v>
      </c>
      <c r="V232" s="44">
        <v>14.5</v>
      </c>
      <c r="W232" s="44">
        <v>12.8</v>
      </c>
      <c r="X232" s="44">
        <v>17.7</v>
      </c>
      <c r="Y232" s="44">
        <v>15.9</v>
      </c>
      <c r="Z232" s="44">
        <v>17.2</v>
      </c>
      <c r="AA232" s="44">
        <v>15.1</v>
      </c>
      <c r="AB232" s="44">
        <v>13.2</v>
      </c>
    </row>
    <row r="233" spans="1:28" ht="15" customHeight="1" x14ac:dyDescent="0.25">
      <c r="A233" s="35" t="s">
        <v>278</v>
      </c>
      <c r="B233" s="42">
        <v>7</v>
      </c>
      <c r="C233" s="42">
        <v>23</v>
      </c>
      <c r="D233" s="42">
        <v>20</v>
      </c>
      <c r="E233" s="42">
        <v>7</v>
      </c>
      <c r="F233" s="42">
        <v>40</v>
      </c>
      <c r="G233" s="42">
        <v>4</v>
      </c>
      <c r="H233" s="42">
        <v>24</v>
      </c>
      <c r="I233" s="42">
        <v>7</v>
      </c>
      <c r="J233" s="42">
        <v>27</v>
      </c>
      <c r="K233" s="42">
        <v>586</v>
      </c>
      <c r="L233" s="42">
        <v>1797</v>
      </c>
      <c r="M233" s="42">
        <v>1671</v>
      </c>
      <c r="N233" s="42">
        <v>663</v>
      </c>
      <c r="O233" s="42">
        <v>3030</v>
      </c>
      <c r="P233" s="42">
        <v>437</v>
      </c>
      <c r="Q233" s="42">
        <v>1471</v>
      </c>
      <c r="R233" s="42">
        <v>699</v>
      </c>
      <c r="S233" s="42">
        <v>2333</v>
      </c>
      <c r="T233" s="44">
        <v>11.7</v>
      </c>
      <c r="U233" s="44">
        <v>12.7</v>
      </c>
      <c r="V233" s="44">
        <v>11.8</v>
      </c>
      <c r="W233" s="44">
        <v>10.1</v>
      </c>
      <c r="X233" s="44">
        <v>13.3</v>
      </c>
      <c r="Y233" s="44">
        <v>9.9</v>
      </c>
      <c r="Z233" s="44">
        <v>16.3</v>
      </c>
      <c r="AA233" s="44">
        <v>9.4</v>
      </c>
      <c r="AB233" s="44">
        <v>11.5</v>
      </c>
    </row>
    <row r="234" spans="1:28" ht="27.95" customHeight="1" x14ac:dyDescent="0.25">
      <c r="A234" s="41" t="s">
        <v>279</v>
      </c>
      <c r="B234" s="42">
        <v>13</v>
      </c>
      <c r="C234" s="42">
        <v>38</v>
      </c>
      <c r="D234" s="42">
        <v>42</v>
      </c>
      <c r="E234" s="42">
        <v>18</v>
      </c>
      <c r="F234" s="42">
        <v>79</v>
      </c>
      <c r="G234" s="42">
        <v>21</v>
      </c>
      <c r="H234" s="42">
        <v>43</v>
      </c>
      <c r="I234" s="42">
        <v>19</v>
      </c>
      <c r="J234" s="42">
        <v>50</v>
      </c>
      <c r="K234" s="42">
        <v>843</v>
      </c>
      <c r="L234" s="42">
        <v>2279</v>
      </c>
      <c r="M234" s="42">
        <v>2804</v>
      </c>
      <c r="N234" s="42">
        <v>1137</v>
      </c>
      <c r="O234" s="42">
        <v>4226</v>
      </c>
      <c r="P234" s="42">
        <v>1416</v>
      </c>
      <c r="Q234" s="42">
        <v>2222</v>
      </c>
      <c r="R234" s="42">
        <v>1168</v>
      </c>
      <c r="S234" s="42">
        <v>2698</v>
      </c>
      <c r="T234" s="44">
        <v>15.8</v>
      </c>
      <c r="U234" s="44">
        <v>16.899999999999999</v>
      </c>
      <c r="V234" s="44">
        <v>15.2</v>
      </c>
      <c r="W234" s="44">
        <v>16</v>
      </c>
      <c r="X234" s="44">
        <v>18.600000000000001</v>
      </c>
      <c r="Y234" s="44">
        <v>14.6</v>
      </c>
      <c r="Z234" s="44">
        <v>19.2</v>
      </c>
      <c r="AA234" s="44">
        <v>16.5</v>
      </c>
      <c r="AB234" s="44">
        <v>18.399999999999999</v>
      </c>
    </row>
    <row r="235" spans="1:28" ht="33.950000000000003" customHeight="1" x14ac:dyDescent="0.25">
      <c r="A235" s="40" t="s">
        <v>280</v>
      </c>
      <c r="B235" s="45" t="s">
        <v>16</v>
      </c>
      <c r="C235" s="45" t="s">
        <v>16</v>
      </c>
      <c r="D235" s="45" t="s">
        <v>16</v>
      </c>
      <c r="E235" s="45" t="s">
        <v>16</v>
      </c>
      <c r="F235" s="45" t="s">
        <v>16</v>
      </c>
      <c r="G235" s="45" t="s">
        <v>16</v>
      </c>
      <c r="H235" s="45" t="s">
        <v>16</v>
      </c>
      <c r="I235" s="45" t="s">
        <v>16</v>
      </c>
      <c r="J235" s="45" t="s">
        <v>16</v>
      </c>
      <c r="K235" s="45" t="s">
        <v>16</v>
      </c>
      <c r="L235" s="45" t="s">
        <v>16</v>
      </c>
      <c r="M235" s="45" t="s">
        <v>16</v>
      </c>
      <c r="N235" s="45" t="s">
        <v>16</v>
      </c>
      <c r="O235" s="45" t="s">
        <v>16</v>
      </c>
      <c r="P235" s="45" t="s">
        <v>16</v>
      </c>
      <c r="Q235" s="45" t="s">
        <v>16</v>
      </c>
      <c r="R235" s="45" t="s">
        <v>16</v>
      </c>
      <c r="S235" s="45" t="s">
        <v>16</v>
      </c>
      <c r="T235" s="47" t="s">
        <v>16</v>
      </c>
      <c r="U235" s="47" t="s">
        <v>16</v>
      </c>
      <c r="V235" s="47" t="s">
        <v>16</v>
      </c>
      <c r="W235" s="47" t="s">
        <v>16</v>
      </c>
      <c r="X235" s="47" t="s">
        <v>16</v>
      </c>
      <c r="Y235" s="47" t="s">
        <v>16</v>
      </c>
      <c r="Z235" s="47" t="s">
        <v>16</v>
      </c>
      <c r="AA235" s="47" t="s">
        <v>16</v>
      </c>
      <c r="AB235" s="47" t="s">
        <v>16</v>
      </c>
    </row>
    <row r="236" spans="1:28" ht="15" customHeight="1" x14ac:dyDescent="0.25">
      <c r="A236" s="35" t="s">
        <v>281</v>
      </c>
      <c r="B236" s="42">
        <v>24</v>
      </c>
      <c r="C236" s="42">
        <v>94</v>
      </c>
      <c r="D236" s="42">
        <v>96</v>
      </c>
      <c r="E236" s="42">
        <v>41</v>
      </c>
      <c r="F236" s="42">
        <v>138</v>
      </c>
      <c r="G236" s="42">
        <v>35</v>
      </c>
      <c r="H236" s="42">
        <v>75</v>
      </c>
      <c r="I236" s="42">
        <v>36</v>
      </c>
      <c r="J236" s="42">
        <v>73</v>
      </c>
      <c r="K236" s="42">
        <v>2046</v>
      </c>
      <c r="L236" s="42">
        <v>5520</v>
      </c>
      <c r="M236" s="42">
        <v>6180</v>
      </c>
      <c r="N236" s="42">
        <v>2858</v>
      </c>
      <c r="O236" s="42">
        <v>7828</v>
      </c>
      <c r="P236" s="42">
        <v>2468</v>
      </c>
      <c r="Q236" s="42">
        <v>4286</v>
      </c>
      <c r="R236" s="42">
        <v>2253</v>
      </c>
      <c r="S236" s="42">
        <v>4969</v>
      </c>
      <c r="T236" s="44">
        <v>11.7</v>
      </c>
      <c r="U236" s="44">
        <v>17</v>
      </c>
      <c r="V236" s="44">
        <v>15.5</v>
      </c>
      <c r="W236" s="44">
        <v>14.4</v>
      </c>
      <c r="X236" s="44">
        <v>17.7</v>
      </c>
      <c r="Y236" s="44">
        <v>14.2</v>
      </c>
      <c r="Z236" s="44">
        <v>17.5</v>
      </c>
      <c r="AA236" s="44">
        <v>16</v>
      </c>
      <c r="AB236" s="44">
        <v>14.7</v>
      </c>
    </row>
    <row r="237" spans="1:28" ht="15" customHeight="1" x14ac:dyDescent="0.25">
      <c r="A237" s="35" t="s">
        <v>282</v>
      </c>
      <c r="B237" s="42">
        <v>48</v>
      </c>
      <c r="C237" s="42">
        <v>166</v>
      </c>
      <c r="D237" s="42">
        <v>171</v>
      </c>
      <c r="E237" s="42">
        <v>72</v>
      </c>
      <c r="F237" s="42">
        <v>274</v>
      </c>
      <c r="G237" s="42">
        <v>69</v>
      </c>
      <c r="H237" s="42">
        <v>166</v>
      </c>
      <c r="I237" s="42">
        <v>65</v>
      </c>
      <c r="J237" s="42">
        <v>167</v>
      </c>
      <c r="K237" s="42">
        <v>3771</v>
      </c>
      <c r="L237" s="42">
        <v>10702</v>
      </c>
      <c r="M237" s="42">
        <v>11880</v>
      </c>
      <c r="N237" s="42">
        <v>5634</v>
      </c>
      <c r="O237" s="42">
        <v>16888</v>
      </c>
      <c r="P237" s="42">
        <v>4573</v>
      </c>
      <c r="Q237" s="42">
        <v>9901</v>
      </c>
      <c r="R237" s="42">
        <v>4529</v>
      </c>
      <c r="S237" s="42">
        <v>12203</v>
      </c>
      <c r="T237" s="44">
        <v>12.8</v>
      </c>
      <c r="U237" s="44">
        <v>15.5</v>
      </c>
      <c r="V237" s="44">
        <v>14.4</v>
      </c>
      <c r="W237" s="44">
        <v>12.8</v>
      </c>
      <c r="X237" s="44">
        <v>16.2</v>
      </c>
      <c r="Y237" s="44">
        <v>15</v>
      </c>
      <c r="Z237" s="44">
        <v>16.8</v>
      </c>
      <c r="AA237" s="44">
        <v>14.4</v>
      </c>
      <c r="AB237" s="44">
        <v>13.7</v>
      </c>
    </row>
    <row r="238" spans="1:28" ht="15" customHeight="1" x14ac:dyDescent="0.25">
      <c r="A238" s="41" t="s">
        <v>283</v>
      </c>
      <c r="B238" s="42">
        <v>39</v>
      </c>
      <c r="C238" s="42">
        <v>135</v>
      </c>
      <c r="D238" s="42">
        <v>126</v>
      </c>
      <c r="E238" s="42">
        <v>53</v>
      </c>
      <c r="F238" s="42">
        <v>206</v>
      </c>
      <c r="G238" s="42">
        <v>46</v>
      </c>
      <c r="H238" s="42">
        <v>114</v>
      </c>
      <c r="I238" s="42">
        <v>47</v>
      </c>
      <c r="J238" s="42">
        <v>123</v>
      </c>
      <c r="K238" s="42">
        <v>2886</v>
      </c>
      <c r="L238" s="42">
        <v>7886</v>
      </c>
      <c r="M238" s="42">
        <v>8336</v>
      </c>
      <c r="N238" s="42">
        <v>3505</v>
      </c>
      <c r="O238" s="42">
        <v>10855</v>
      </c>
      <c r="P238" s="42">
        <v>2923</v>
      </c>
      <c r="Q238" s="42">
        <v>6263</v>
      </c>
      <c r="R238" s="42">
        <v>3007</v>
      </c>
      <c r="S238" s="42">
        <v>8156</v>
      </c>
      <c r="T238" s="44">
        <v>13.7</v>
      </c>
      <c r="U238" s="44">
        <v>17.100000000000001</v>
      </c>
      <c r="V238" s="44">
        <v>15.1</v>
      </c>
      <c r="W238" s="44">
        <v>15.2</v>
      </c>
      <c r="X238" s="44">
        <v>18.899999999999999</v>
      </c>
      <c r="Y238" s="44">
        <v>15.6</v>
      </c>
      <c r="Z238" s="44">
        <v>18.2</v>
      </c>
      <c r="AA238" s="44">
        <v>15.7</v>
      </c>
      <c r="AB238" s="44">
        <v>15.1</v>
      </c>
    </row>
    <row r="239" spans="1:28" ht="15" customHeight="1" x14ac:dyDescent="0.25">
      <c r="A239" s="35" t="s">
        <v>284</v>
      </c>
      <c r="B239" s="42">
        <v>15</v>
      </c>
      <c r="C239" s="42">
        <v>61</v>
      </c>
      <c r="D239" s="42">
        <v>64</v>
      </c>
      <c r="E239" s="42">
        <v>22</v>
      </c>
      <c r="F239" s="42">
        <v>93</v>
      </c>
      <c r="G239" s="42">
        <v>20</v>
      </c>
      <c r="H239" s="42">
        <v>45</v>
      </c>
      <c r="I239" s="42">
        <v>22</v>
      </c>
      <c r="J239" s="42">
        <v>40</v>
      </c>
      <c r="K239" s="42">
        <v>1161</v>
      </c>
      <c r="L239" s="42">
        <v>3349</v>
      </c>
      <c r="M239" s="42">
        <v>4102</v>
      </c>
      <c r="N239" s="42">
        <v>1255</v>
      </c>
      <c r="O239" s="42">
        <v>5325</v>
      </c>
      <c r="P239" s="42">
        <v>1182</v>
      </c>
      <c r="Q239" s="42">
        <v>2841</v>
      </c>
      <c r="R239" s="42">
        <v>1314</v>
      </c>
      <c r="S239" s="42">
        <v>2868</v>
      </c>
      <c r="T239" s="44">
        <v>12.9</v>
      </c>
      <c r="U239" s="44">
        <v>18.2</v>
      </c>
      <c r="V239" s="44">
        <v>15.7</v>
      </c>
      <c r="W239" s="44">
        <v>17.7</v>
      </c>
      <c r="X239" s="44">
        <v>17.5</v>
      </c>
      <c r="Y239" s="44">
        <v>17</v>
      </c>
      <c r="Z239" s="44">
        <v>15.7</v>
      </c>
      <c r="AA239" s="44">
        <v>16.5</v>
      </c>
      <c r="AB239" s="44">
        <v>13.9</v>
      </c>
    </row>
    <row r="240" spans="1:28" ht="15" customHeight="1" x14ac:dyDescent="0.25">
      <c r="A240" s="35" t="s">
        <v>285</v>
      </c>
      <c r="B240" s="42">
        <v>22</v>
      </c>
      <c r="C240" s="42">
        <v>57</v>
      </c>
      <c r="D240" s="42">
        <v>78</v>
      </c>
      <c r="E240" s="42">
        <v>23</v>
      </c>
      <c r="F240" s="42">
        <v>121</v>
      </c>
      <c r="G240" s="42">
        <v>24</v>
      </c>
      <c r="H240" s="42">
        <v>61</v>
      </c>
      <c r="I240" s="42">
        <v>26</v>
      </c>
      <c r="J240" s="42">
        <v>67</v>
      </c>
      <c r="K240" s="42">
        <v>1494</v>
      </c>
      <c r="L240" s="42">
        <v>3774</v>
      </c>
      <c r="M240" s="42">
        <v>4590</v>
      </c>
      <c r="N240" s="42">
        <v>1578</v>
      </c>
      <c r="O240" s="42">
        <v>6161</v>
      </c>
      <c r="P240" s="42">
        <v>1349</v>
      </c>
      <c r="Q240" s="42">
        <v>3459</v>
      </c>
      <c r="R240" s="42">
        <v>1663</v>
      </c>
      <c r="S240" s="42">
        <v>3990</v>
      </c>
      <c r="T240" s="44">
        <v>14.5</v>
      </c>
      <c r="U240" s="44">
        <v>15</v>
      </c>
      <c r="V240" s="44">
        <v>17</v>
      </c>
      <c r="W240" s="44">
        <v>14.8</v>
      </c>
      <c r="X240" s="44">
        <v>19.600000000000001</v>
      </c>
      <c r="Y240" s="44">
        <v>17.399999999999999</v>
      </c>
      <c r="Z240" s="44">
        <v>17.7</v>
      </c>
      <c r="AA240" s="44">
        <v>15.7</v>
      </c>
      <c r="AB240" s="44">
        <v>16.8</v>
      </c>
    </row>
    <row r="241" spans="1:28" ht="15" customHeight="1" x14ac:dyDescent="0.25">
      <c r="A241" s="41" t="s">
        <v>286</v>
      </c>
      <c r="B241" s="42">
        <v>23</v>
      </c>
      <c r="C241" s="42">
        <v>67</v>
      </c>
      <c r="D241" s="42">
        <v>66</v>
      </c>
      <c r="E241" s="42">
        <v>23</v>
      </c>
      <c r="F241" s="42">
        <v>98</v>
      </c>
      <c r="G241" s="42">
        <v>21</v>
      </c>
      <c r="H241" s="42">
        <v>40</v>
      </c>
      <c r="I241" s="42">
        <v>29</v>
      </c>
      <c r="J241" s="42">
        <v>48</v>
      </c>
      <c r="K241" s="42">
        <v>1363</v>
      </c>
      <c r="L241" s="42">
        <v>3388</v>
      </c>
      <c r="M241" s="42">
        <v>3759</v>
      </c>
      <c r="N241" s="42">
        <v>1389</v>
      </c>
      <c r="O241" s="42">
        <v>4553</v>
      </c>
      <c r="P241" s="42">
        <v>1232</v>
      </c>
      <c r="Q241" s="42">
        <v>1774</v>
      </c>
      <c r="R241" s="42">
        <v>1513</v>
      </c>
      <c r="S241" s="42">
        <v>3099</v>
      </c>
      <c r="T241" s="44">
        <v>17.100000000000001</v>
      </c>
      <c r="U241" s="44">
        <v>19.7</v>
      </c>
      <c r="V241" s="44">
        <v>17.600000000000001</v>
      </c>
      <c r="W241" s="44">
        <v>16.3</v>
      </c>
      <c r="X241" s="44">
        <v>21.6</v>
      </c>
      <c r="Y241" s="44">
        <v>17.399999999999999</v>
      </c>
      <c r="Z241" s="44">
        <v>22.4</v>
      </c>
      <c r="AA241" s="44">
        <v>19</v>
      </c>
      <c r="AB241" s="44">
        <v>15.5</v>
      </c>
    </row>
    <row r="242" spans="1:28" ht="15" customHeight="1" x14ac:dyDescent="0.25">
      <c r="A242" s="41" t="s">
        <v>173</v>
      </c>
      <c r="B242" s="42" t="s">
        <v>28</v>
      </c>
      <c r="C242" s="42" t="s">
        <v>28</v>
      </c>
      <c r="D242" s="42" t="s">
        <v>28</v>
      </c>
      <c r="E242" s="42" t="s">
        <v>28</v>
      </c>
      <c r="F242" s="42" t="s">
        <v>28</v>
      </c>
      <c r="G242" s="42" t="s">
        <v>28</v>
      </c>
      <c r="H242" s="42" t="s">
        <v>28</v>
      </c>
      <c r="I242" s="42" t="s">
        <v>28</v>
      </c>
      <c r="J242" s="42" t="s">
        <v>28</v>
      </c>
      <c r="K242" s="42" t="s">
        <v>28</v>
      </c>
      <c r="L242" s="42" t="s">
        <v>28</v>
      </c>
      <c r="M242" s="42" t="s">
        <v>28</v>
      </c>
      <c r="N242" s="42" t="s">
        <v>28</v>
      </c>
      <c r="O242" s="42" t="s">
        <v>28</v>
      </c>
      <c r="P242" s="42" t="s">
        <v>28</v>
      </c>
      <c r="Q242" s="42" t="s">
        <v>28</v>
      </c>
      <c r="R242" s="42" t="s">
        <v>28</v>
      </c>
      <c r="S242" s="42" t="s">
        <v>28</v>
      </c>
      <c r="T242" s="44" t="s">
        <v>28</v>
      </c>
      <c r="U242" s="44" t="s">
        <v>28</v>
      </c>
      <c r="V242" s="44" t="s">
        <v>28</v>
      </c>
      <c r="W242" s="44" t="s">
        <v>28</v>
      </c>
      <c r="X242" s="44" t="s">
        <v>28</v>
      </c>
      <c r="Y242" s="44" t="s">
        <v>28</v>
      </c>
      <c r="Z242" s="44" t="s">
        <v>28</v>
      </c>
      <c r="AA242" s="44" t="s">
        <v>28</v>
      </c>
      <c r="AB242" s="44" t="s">
        <v>28</v>
      </c>
    </row>
    <row r="243" spans="1:28" ht="33.950000000000003" customHeight="1" x14ac:dyDescent="0.25">
      <c r="A243" s="40" t="s">
        <v>287</v>
      </c>
      <c r="B243" s="45" t="s">
        <v>16</v>
      </c>
      <c r="C243" s="45" t="s">
        <v>16</v>
      </c>
      <c r="D243" s="45" t="s">
        <v>16</v>
      </c>
      <c r="E243" s="45" t="s">
        <v>16</v>
      </c>
      <c r="F243" s="45" t="s">
        <v>16</v>
      </c>
      <c r="G243" s="45" t="s">
        <v>16</v>
      </c>
      <c r="H243" s="45" t="s">
        <v>16</v>
      </c>
      <c r="I243" s="45" t="s">
        <v>16</v>
      </c>
      <c r="J243" s="45" t="s">
        <v>16</v>
      </c>
      <c r="K243" s="45" t="s">
        <v>16</v>
      </c>
      <c r="L243" s="45" t="s">
        <v>16</v>
      </c>
      <c r="M243" s="45" t="s">
        <v>16</v>
      </c>
      <c r="N243" s="45" t="s">
        <v>16</v>
      </c>
      <c r="O243" s="45" t="s">
        <v>16</v>
      </c>
      <c r="P243" s="45" t="s">
        <v>16</v>
      </c>
      <c r="Q243" s="45" t="s">
        <v>16</v>
      </c>
      <c r="R243" s="45" t="s">
        <v>16</v>
      </c>
      <c r="S243" s="45" t="s">
        <v>16</v>
      </c>
      <c r="T243" s="47" t="s">
        <v>16</v>
      </c>
      <c r="U243" s="47" t="s">
        <v>16</v>
      </c>
      <c r="V243" s="47" t="s">
        <v>16</v>
      </c>
      <c r="W243" s="47" t="s">
        <v>16</v>
      </c>
      <c r="X243" s="47" t="s">
        <v>16</v>
      </c>
      <c r="Y243" s="47" t="s">
        <v>16</v>
      </c>
      <c r="Z243" s="47" t="s">
        <v>16</v>
      </c>
      <c r="AA243" s="47" t="s">
        <v>16</v>
      </c>
      <c r="AB243" s="47" t="s">
        <v>16</v>
      </c>
    </row>
    <row r="244" spans="1:28" ht="15" customHeight="1" x14ac:dyDescent="0.25">
      <c r="A244" s="35" t="s">
        <v>288</v>
      </c>
      <c r="B244" s="42">
        <v>46</v>
      </c>
      <c r="C244" s="42">
        <v>160</v>
      </c>
      <c r="D244" s="42">
        <v>163</v>
      </c>
      <c r="E244" s="42">
        <v>70</v>
      </c>
      <c r="F244" s="42">
        <v>265</v>
      </c>
      <c r="G244" s="42">
        <v>68</v>
      </c>
      <c r="H244" s="42">
        <v>159</v>
      </c>
      <c r="I244" s="42">
        <v>63</v>
      </c>
      <c r="J244" s="42">
        <v>156</v>
      </c>
      <c r="K244" s="42">
        <v>3568</v>
      </c>
      <c r="L244" s="42">
        <v>10044</v>
      </c>
      <c r="M244" s="42">
        <v>11374</v>
      </c>
      <c r="N244" s="42">
        <v>5196</v>
      </c>
      <c r="O244" s="42">
        <v>15268</v>
      </c>
      <c r="P244" s="42">
        <v>4498</v>
      </c>
      <c r="Q244" s="42">
        <v>8989</v>
      </c>
      <c r="R244" s="42">
        <v>4179</v>
      </c>
      <c r="S244" s="42">
        <v>10530</v>
      </c>
      <c r="T244" s="44">
        <v>13</v>
      </c>
      <c r="U244" s="44">
        <v>16</v>
      </c>
      <c r="V244" s="44">
        <v>14.3</v>
      </c>
      <c r="W244" s="44">
        <v>13.5</v>
      </c>
      <c r="X244" s="44">
        <v>17.3</v>
      </c>
      <c r="Y244" s="44">
        <v>15.1</v>
      </c>
      <c r="Z244" s="44">
        <v>17.7</v>
      </c>
      <c r="AA244" s="44">
        <v>15.1</v>
      </c>
      <c r="AB244" s="44">
        <v>14.8</v>
      </c>
    </row>
    <row r="245" spans="1:28" ht="15" customHeight="1" x14ac:dyDescent="0.25">
      <c r="A245" s="39" t="s">
        <v>289</v>
      </c>
      <c r="B245" s="42">
        <v>28</v>
      </c>
      <c r="C245" s="42">
        <v>96</v>
      </c>
      <c r="D245" s="42">
        <v>82</v>
      </c>
      <c r="E245" s="42">
        <v>36</v>
      </c>
      <c r="F245" s="42">
        <v>146</v>
      </c>
      <c r="G245" s="42">
        <v>31</v>
      </c>
      <c r="H245" s="42">
        <v>72</v>
      </c>
      <c r="I245" s="42">
        <v>38</v>
      </c>
      <c r="J245" s="42">
        <v>77</v>
      </c>
      <c r="K245" s="42">
        <v>1424</v>
      </c>
      <c r="L245" s="42">
        <v>4445</v>
      </c>
      <c r="M245" s="42">
        <v>4481</v>
      </c>
      <c r="N245" s="42">
        <v>1850</v>
      </c>
      <c r="O245" s="42">
        <v>6399</v>
      </c>
      <c r="P245" s="42">
        <v>1199</v>
      </c>
      <c r="Q245" s="42">
        <v>3179</v>
      </c>
      <c r="R245" s="42">
        <v>1898</v>
      </c>
      <c r="S245" s="42">
        <v>3486</v>
      </c>
      <c r="T245" s="44">
        <v>19.3</v>
      </c>
      <c r="U245" s="44">
        <v>21.7</v>
      </c>
      <c r="V245" s="44">
        <v>18.3</v>
      </c>
      <c r="W245" s="44">
        <v>19.3</v>
      </c>
      <c r="X245" s="44">
        <v>22.9</v>
      </c>
      <c r="Y245" s="44">
        <v>26.2</v>
      </c>
      <c r="Z245" s="44">
        <v>22.6</v>
      </c>
      <c r="AA245" s="44">
        <v>20</v>
      </c>
      <c r="AB245" s="44">
        <v>22.1</v>
      </c>
    </row>
    <row r="246" spans="1:28" ht="15" customHeight="1" x14ac:dyDescent="0.25">
      <c r="A246" s="39" t="s">
        <v>290</v>
      </c>
      <c r="B246" s="42">
        <v>28</v>
      </c>
      <c r="C246" s="42">
        <v>93</v>
      </c>
      <c r="D246" s="42">
        <v>85</v>
      </c>
      <c r="E246" s="42">
        <v>37</v>
      </c>
      <c r="F246" s="42">
        <v>125</v>
      </c>
      <c r="G246" s="42">
        <v>31</v>
      </c>
      <c r="H246" s="42">
        <v>65</v>
      </c>
      <c r="I246" s="42">
        <v>35</v>
      </c>
      <c r="J246" s="42">
        <v>83</v>
      </c>
      <c r="K246" s="42">
        <v>1524</v>
      </c>
      <c r="L246" s="42">
        <v>4542</v>
      </c>
      <c r="M246" s="42">
        <v>4820</v>
      </c>
      <c r="N246" s="42">
        <v>1983</v>
      </c>
      <c r="O246" s="42">
        <v>5711</v>
      </c>
      <c r="P246" s="42">
        <v>1596</v>
      </c>
      <c r="Q246" s="42">
        <v>3079</v>
      </c>
      <c r="R246" s="42">
        <v>1740</v>
      </c>
      <c r="S246" s="42">
        <v>3725</v>
      </c>
      <c r="T246" s="44">
        <v>18.100000000000001</v>
      </c>
      <c r="U246" s="44">
        <v>20.5</v>
      </c>
      <c r="V246" s="44">
        <v>17.7</v>
      </c>
      <c r="W246" s="44">
        <v>18.5</v>
      </c>
      <c r="X246" s="44">
        <v>21.9</v>
      </c>
      <c r="Y246" s="44">
        <v>19.600000000000001</v>
      </c>
      <c r="Z246" s="44">
        <v>21.2</v>
      </c>
      <c r="AA246" s="44">
        <v>20.3</v>
      </c>
      <c r="AB246" s="44">
        <v>22.2</v>
      </c>
    </row>
    <row r="247" spans="1:28" ht="15" customHeight="1" x14ac:dyDescent="0.25">
      <c r="A247" s="39" t="s">
        <v>291</v>
      </c>
      <c r="B247" s="42" t="s">
        <v>28</v>
      </c>
      <c r="C247" s="42">
        <v>10</v>
      </c>
      <c r="D247" s="42">
        <v>13</v>
      </c>
      <c r="E247" s="42" t="s">
        <v>28</v>
      </c>
      <c r="F247" s="42">
        <v>27</v>
      </c>
      <c r="G247" s="42" t="s">
        <v>28</v>
      </c>
      <c r="H247" s="42">
        <v>8</v>
      </c>
      <c r="I247" s="42" t="s">
        <v>28</v>
      </c>
      <c r="J247" s="42">
        <v>18</v>
      </c>
      <c r="K247" s="42" t="s">
        <v>28</v>
      </c>
      <c r="L247" s="42">
        <v>430</v>
      </c>
      <c r="M247" s="42">
        <v>695</v>
      </c>
      <c r="N247" s="42" t="s">
        <v>28</v>
      </c>
      <c r="O247" s="42">
        <v>1049</v>
      </c>
      <c r="P247" s="42" t="s">
        <v>28</v>
      </c>
      <c r="Q247" s="42">
        <v>316</v>
      </c>
      <c r="R247" s="42" t="s">
        <v>28</v>
      </c>
      <c r="S247" s="42">
        <v>676</v>
      </c>
      <c r="T247" s="44" t="s">
        <v>28</v>
      </c>
      <c r="U247" s="44">
        <v>23.7</v>
      </c>
      <c r="V247" s="44">
        <v>18.3</v>
      </c>
      <c r="W247" s="44" t="s">
        <v>28</v>
      </c>
      <c r="X247" s="44">
        <v>25.7</v>
      </c>
      <c r="Y247" s="44" t="s">
        <v>28</v>
      </c>
      <c r="Z247" s="44">
        <v>26.2</v>
      </c>
      <c r="AA247" s="44" t="s">
        <v>28</v>
      </c>
      <c r="AB247" s="44">
        <v>25.9</v>
      </c>
    </row>
    <row r="248" spans="1:28" ht="15" customHeight="1" x14ac:dyDescent="0.25">
      <c r="A248" s="39" t="s">
        <v>292</v>
      </c>
      <c r="B248" s="42">
        <v>24</v>
      </c>
      <c r="C248" s="42">
        <v>91</v>
      </c>
      <c r="D248" s="42">
        <v>87</v>
      </c>
      <c r="E248" s="42">
        <v>39</v>
      </c>
      <c r="F248" s="42">
        <v>163</v>
      </c>
      <c r="G248" s="42">
        <v>43</v>
      </c>
      <c r="H248" s="42">
        <v>84</v>
      </c>
      <c r="I248" s="42">
        <v>40</v>
      </c>
      <c r="J248" s="42">
        <v>81</v>
      </c>
      <c r="K248" s="42">
        <v>1240</v>
      </c>
      <c r="L248" s="42">
        <v>4333</v>
      </c>
      <c r="M248" s="42">
        <v>4666</v>
      </c>
      <c r="N248" s="42">
        <v>1932</v>
      </c>
      <c r="O248" s="42">
        <v>7957</v>
      </c>
      <c r="P248" s="42">
        <v>2457</v>
      </c>
      <c r="Q248" s="42">
        <v>4102</v>
      </c>
      <c r="R248" s="42">
        <v>2093</v>
      </c>
      <c r="S248" s="42">
        <v>3955</v>
      </c>
      <c r="T248" s="44">
        <v>19.5</v>
      </c>
      <c r="U248" s="44">
        <v>21.1</v>
      </c>
      <c r="V248" s="44">
        <v>18.7</v>
      </c>
      <c r="W248" s="44">
        <v>20.3</v>
      </c>
      <c r="X248" s="44">
        <v>20.5</v>
      </c>
      <c r="Y248" s="44">
        <v>17.3</v>
      </c>
      <c r="Z248" s="44">
        <v>20.5</v>
      </c>
      <c r="AA248" s="44">
        <v>19.3</v>
      </c>
      <c r="AB248" s="44">
        <v>20.5</v>
      </c>
    </row>
    <row r="249" spans="1:28" ht="15" customHeight="1" x14ac:dyDescent="0.25">
      <c r="A249" s="39" t="s">
        <v>293</v>
      </c>
      <c r="B249" s="42">
        <v>40</v>
      </c>
      <c r="C249" s="42">
        <v>129</v>
      </c>
      <c r="D249" s="42">
        <v>136</v>
      </c>
      <c r="E249" s="42">
        <v>57</v>
      </c>
      <c r="F249" s="42">
        <v>213</v>
      </c>
      <c r="G249" s="42">
        <v>48</v>
      </c>
      <c r="H249" s="42">
        <v>116</v>
      </c>
      <c r="I249" s="42">
        <v>46</v>
      </c>
      <c r="J249" s="42">
        <v>126</v>
      </c>
      <c r="K249" s="42">
        <v>3081</v>
      </c>
      <c r="L249" s="42">
        <v>8354</v>
      </c>
      <c r="M249" s="42">
        <v>9850</v>
      </c>
      <c r="N249" s="42">
        <v>4407</v>
      </c>
      <c r="O249" s="42">
        <v>13129</v>
      </c>
      <c r="P249" s="42">
        <v>3747</v>
      </c>
      <c r="Q249" s="42">
        <v>7312</v>
      </c>
      <c r="R249" s="42">
        <v>3323</v>
      </c>
      <c r="S249" s="42">
        <v>9176</v>
      </c>
      <c r="T249" s="44">
        <v>12.8</v>
      </c>
      <c r="U249" s="44">
        <v>15.5</v>
      </c>
      <c r="V249" s="44">
        <v>13.8</v>
      </c>
      <c r="W249" s="44">
        <v>12.9</v>
      </c>
      <c r="X249" s="44">
        <v>16.2</v>
      </c>
      <c r="Y249" s="44">
        <v>12.9</v>
      </c>
      <c r="Z249" s="44">
        <v>15.9</v>
      </c>
      <c r="AA249" s="44">
        <v>14</v>
      </c>
      <c r="AB249" s="44">
        <v>13.7</v>
      </c>
    </row>
    <row r="250" spans="1:28" ht="15" customHeight="1" x14ac:dyDescent="0.25">
      <c r="A250" s="39" t="s">
        <v>294</v>
      </c>
      <c r="B250" s="42">
        <v>29</v>
      </c>
      <c r="C250" s="42">
        <v>116</v>
      </c>
      <c r="D250" s="42">
        <v>105</v>
      </c>
      <c r="E250" s="42">
        <v>45</v>
      </c>
      <c r="F250" s="42">
        <v>169</v>
      </c>
      <c r="G250" s="42">
        <v>45</v>
      </c>
      <c r="H250" s="42">
        <v>101</v>
      </c>
      <c r="I250" s="42">
        <v>40</v>
      </c>
      <c r="J250" s="42">
        <v>94</v>
      </c>
      <c r="K250" s="42">
        <v>1902</v>
      </c>
      <c r="L250" s="42">
        <v>6546</v>
      </c>
      <c r="M250" s="42">
        <v>6685</v>
      </c>
      <c r="N250" s="42">
        <v>2988</v>
      </c>
      <c r="O250" s="42">
        <v>9706</v>
      </c>
      <c r="P250" s="42">
        <v>2702</v>
      </c>
      <c r="Q250" s="42">
        <v>5219</v>
      </c>
      <c r="R250" s="42">
        <v>2529</v>
      </c>
      <c r="S250" s="42">
        <v>5659</v>
      </c>
      <c r="T250" s="44">
        <v>15.2</v>
      </c>
      <c r="U250" s="44">
        <v>17.600000000000001</v>
      </c>
      <c r="V250" s="44">
        <v>15.7</v>
      </c>
      <c r="W250" s="44">
        <v>14.9</v>
      </c>
      <c r="X250" s="44">
        <v>17.399999999999999</v>
      </c>
      <c r="Y250" s="44">
        <v>16.600000000000001</v>
      </c>
      <c r="Z250" s="44">
        <v>19.3</v>
      </c>
      <c r="AA250" s="44">
        <v>15.7</v>
      </c>
      <c r="AB250" s="44">
        <v>16.600000000000001</v>
      </c>
    </row>
    <row r="251" spans="1:28" ht="15" customHeight="1" x14ac:dyDescent="0.25">
      <c r="A251" s="41" t="s">
        <v>295</v>
      </c>
      <c r="B251" s="36">
        <v>4</v>
      </c>
      <c r="C251" s="36">
        <v>9</v>
      </c>
      <c r="D251" s="36">
        <v>12</v>
      </c>
      <c r="E251" s="36">
        <v>5</v>
      </c>
      <c r="F251" s="36">
        <v>22</v>
      </c>
      <c r="G251" s="36">
        <v>3</v>
      </c>
      <c r="H251" s="36">
        <v>14</v>
      </c>
      <c r="I251" s="36">
        <v>4</v>
      </c>
      <c r="J251" s="36">
        <v>20</v>
      </c>
      <c r="K251" s="36">
        <v>624</v>
      </c>
      <c r="L251" s="36">
        <v>1055</v>
      </c>
      <c r="M251" s="36">
        <v>1170</v>
      </c>
      <c r="N251" s="36">
        <v>820</v>
      </c>
      <c r="O251" s="36">
        <v>2340</v>
      </c>
      <c r="P251" s="36">
        <v>326</v>
      </c>
      <c r="Q251" s="36">
        <v>1605</v>
      </c>
      <c r="R251" s="36">
        <v>633</v>
      </c>
      <c r="S251" s="36">
        <v>2650</v>
      </c>
      <c r="T251" s="38">
        <v>6.8</v>
      </c>
      <c r="U251" s="38">
        <v>8.9</v>
      </c>
      <c r="V251" s="38">
        <v>10</v>
      </c>
      <c r="W251" s="38">
        <v>5.8</v>
      </c>
      <c r="X251" s="38">
        <v>9.4</v>
      </c>
      <c r="Y251" s="38" t="s">
        <v>28</v>
      </c>
      <c r="Z251" s="38">
        <v>8.8000000000000007</v>
      </c>
      <c r="AA251" s="38">
        <v>6.4</v>
      </c>
      <c r="AB251" s="38">
        <v>7.6</v>
      </c>
    </row>
    <row r="252" spans="1:28" ht="33.950000000000003" customHeight="1" x14ac:dyDescent="0.25">
      <c r="A252" s="40" t="s">
        <v>296</v>
      </c>
      <c r="B252" s="45" t="s">
        <v>16</v>
      </c>
      <c r="C252" s="45" t="s">
        <v>16</v>
      </c>
      <c r="D252" s="45" t="s">
        <v>16</v>
      </c>
      <c r="E252" s="45" t="s">
        <v>16</v>
      </c>
      <c r="F252" s="45" t="s">
        <v>16</v>
      </c>
      <c r="G252" s="45" t="s">
        <v>16</v>
      </c>
      <c r="H252" s="45" t="s">
        <v>16</v>
      </c>
      <c r="I252" s="45" t="s">
        <v>16</v>
      </c>
      <c r="J252" s="45" t="s">
        <v>16</v>
      </c>
      <c r="K252" s="45" t="s">
        <v>16</v>
      </c>
      <c r="L252" s="45" t="s">
        <v>16</v>
      </c>
      <c r="M252" s="45" t="s">
        <v>16</v>
      </c>
      <c r="N252" s="45" t="s">
        <v>16</v>
      </c>
      <c r="O252" s="45" t="s">
        <v>16</v>
      </c>
      <c r="P252" s="45" t="s">
        <v>16</v>
      </c>
      <c r="Q252" s="45" t="s">
        <v>16</v>
      </c>
      <c r="R252" s="45" t="s">
        <v>16</v>
      </c>
      <c r="S252" s="45" t="s">
        <v>16</v>
      </c>
      <c r="T252" s="47" t="s">
        <v>16</v>
      </c>
      <c r="U252" s="47" t="s">
        <v>16</v>
      </c>
      <c r="V252" s="47" t="s">
        <v>16</v>
      </c>
      <c r="W252" s="47" t="s">
        <v>16</v>
      </c>
      <c r="X252" s="47" t="s">
        <v>16</v>
      </c>
      <c r="Y252" s="47" t="s">
        <v>16</v>
      </c>
      <c r="Z252" s="47" t="s">
        <v>16</v>
      </c>
      <c r="AA252" s="47" t="s">
        <v>16</v>
      </c>
      <c r="AB252" s="47" t="s">
        <v>16</v>
      </c>
    </row>
    <row r="253" spans="1:28" ht="15" customHeight="1" x14ac:dyDescent="0.25">
      <c r="A253" s="35" t="s">
        <v>297</v>
      </c>
      <c r="B253" s="42">
        <v>47</v>
      </c>
      <c r="C253" s="42">
        <v>162</v>
      </c>
      <c r="D253" s="42">
        <v>166</v>
      </c>
      <c r="E253" s="42">
        <v>72</v>
      </c>
      <c r="F253" s="42">
        <v>274</v>
      </c>
      <c r="G253" s="42">
        <v>65</v>
      </c>
      <c r="H253" s="42">
        <v>161</v>
      </c>
      <c r="I253" s="42">
        <v>63</v>
      </c>
      <c r="J253" s="42">
        <v>166</v>
      </c>
      <c r="K253" s="42">
        <v>3686</v>
      </c>
      <c r="L253" s="42">
        <v>10430</v>
      </c>
      <c r="M253" s="42">
        <v>11561</v>
      </c>
      <c r="N253" s="42">
        <v>5301</v>
      </c>
      <c r="O253" s="42">
        <v>16255</v>
      </c>
      <c r="P253" s="42">
        <v>4236</v>
      </c>
      <c r="Q253" s="42">
        <v>9194</v>
      </c>
      <c r="R253" s="42">
        <v>4338</v>
      </c>
      <c r="S253" s="42">
        <v>12062</v>
      </c>
      <c r="T253" s="44">
        <v>12.8</v>
      </c>
      <c r="U253" s="44">
        <v>15.6</v>
      </c>
      <c r="V253" s="44">
        <v>14.4</v>
      </c>
      <c r="W253" s="44">
        <v>13.5</v>
      </c>
      <c r="X253" s="44">
        <v>16.8</v>
      </c>
      <c r="Y253" s="44">
        <v>15.4</v>
      </c>
      <c r="Z253" s="44">
        <v>17.5</v>
      </c>
      <c r="AA253" s="44">
        <v>14.6</v>
      </c>
      <c r="AB253" s="44">
        <v>13.8</v>
      </c>
    </row>
    <row r="254" spans="1:28" ht="15" customHeight="1" x14ac:dyDescent="0.25">
      <c r="A254" s="39" t="s">
        <v>298</v>
      </c>
      <c r="B254" s="42">
        <v>47</v>
      </c>
      <c r="C254" s="42">
        <v>162</v>
      </c>
      <c r="D254" s="42">
        <v>165</v>
      </c>
      <c r="E254" s="42">
        <v>71</v>
      </c>
      <c r="F254" s="42">
        <v>267</v>
      </c>
      <c r="G254" s="42">
        <v>65</v>
      </c>
      <c r="H254" s="42">
        <v>161</v>
      </c>
      <c r="I254" s="42">
        <v>63</v>
      </c>
      <c r="J254" s="42">
        <v>165</v>
      </c>
      <c r="K254" s="42">
        <v>3645</v>
      </c>
      <c r="L254" s="42">
        <v>10310</v>
      </c>
      <c r="M254" s="42">
        <v>11436</v>
      </c>
      <c r="N254" s="42">
        <v>5192</v>
      </c>
      <c r="O254" s="42">
        <v>16079</v>
      </c>
      <c r="P254" s="42">
        <v>4156</v>
      </c>
      <c r="Q254" s="42">
        <v>9111</v>
      </c>
      <c r="R254" s="42">
        <v>4261</v>
      </c>
      <c r="S254" s="42">
        <v>11968</v>
      </c>
      <c r="T254" s="44">
        <v>12.9</v>
      </c>
      <c r="U254" s="44">
        <v>15.7</v>
      </c>
      <c r="V254" s="44">
        <v>14.4</v>
      </c>
      <c r="W254" s="44">
        <v>13.7</v>
      </c>
      <c r="X254" s="44">
        <v>16.600000000000001</v>
      </c>
      <c r="Y254" s="44">
        <v>15.6</v>
      </c>
      <c r="Z254" s="44">
        <v>17.7</v>
      </c>
      <c r="AA254" s="44">
        <v>14.8</v>
      </c>
      <c r="AB254" s="44">
        <v>13.8</v>
      </c>
    </row>
    <row r="255" spans="1:28" ht="15" customHeight="1" x14ac:dyDescent="0.25">
      <c r="A255" s="39" t="s">
        <v>299</v>
      </c>
      <c r="B255" s="42">
        <v>18</v>
      </c>
      <c r="C255" s="42">
        <v>75</v>
      </c>
      <c r="D255" s="42">
        <v>70</v>
      </c>
      <c r="E255" s="42">
        <v>34</v>
      </c>
      <c r="F255" s="42">
        <v>124</v>
      </c>
      <c r="G255" s="42">
        <v>23</v>
      </c>
      <c r="H255" s="42">
        <v>67</v>
      </c>
      <c r="I255" s="42">
        <v>32</v>
      </c>
      <c r="J255" s="42">
        <v>80</v>
      </c>
      <c r="K255" s="42">
        <v>1158</v>
      </c>
      <c r="L255" s="42">
        <v>4132</v>
      </c>
      <c r="M255" s="42">
        <v>4244</v>
      </c>
      <c r="N255" s="42">
        <v>2164</v>
      </c>
      <c r="O255" s="42">
        <v>6888</v>
      </c>
      <c r="P255" s="42">
        <v>1498</v>
      </c>
      <c r="Q255" s="42">
        <v>3708</v>
      </c>
      <c r="R255" s="42">
        <v>1992</v>
      </c>
      <c r="S255" s="42">
        <v>5163</v>
      </c>
      <c r="T255" s="44">
        <v>15.9</v>
      </c>
      <c r="U255" s="44">
        <v>18.2</v>
      </c>
      <c r="V255" s="44">
        <v>16.399999999999999</v>
      </c>
      <c r="W255" s="44">
        <v>15.8</v>
      </c>
      <c r="X255" s="44">
        <v>18</v>
      </c>
      <c r="Y255" s="44">
        <v>15.4</v>
      </c>
      <c r="Z255" s="44">
        <v>18.100000000000001</v>
      </c>
      <c r="AA255" s="44">
        <v>15.9</v>
      </c>
      <c r="AB255" s="44">
        <v>15.4</v>
      </c>
    </row>
    <row r="256" spans="1:28" ht="15" customHeight="1" x14ac:dyDescent="0.25">
      <c r="A256" s="56" t="s">
        <v>300</v>
      </c>
      <c r="B256" s="42">
        <v>42</v>
      </c>
      <c r="C256" s="42">
        <v>137</v>
      </c>
      <c r="D256" s="42">
        <v>137</v>
      </c>
      <c r="E256" s="42">
        <v>60</v>
      </c>
      <c r="F256" s="42">
        <v>230</v>
      </c>
      <c r="G256" s="42">
        <v>51</v>
      </c>
      <c r="H256" s="42">
        <v>130</v>
      </c>
      <c r="I256" s="42">
        <v>51</v>
      </c>
      <c r="J256" s="42">
        <v>129</v>
      </c>
      <c r="K256" s="42">
        <v>3093</v>
      </c>
      <c r="L256" s="42">
        <v>8681</v>
      </c>
      <c r="M256" s="42">
        <v>9507</v>
      </c>
      <c r="N256" s="42">
        <v>4389</v>
      </c>
      <c r="O256" s="42">
        <v>13950</v>
      </c>
      <c r="P256" s="42">
        <v>3421</v>
      </c>
      <c r="Q256" s="42">
        <v>7550</v>
      </c>
      <c r="R256" s="42">
        <v>3614</v>
      </c>
      <c r="S256" s="42">
        <v>9282</v>
      </c>
      <c r="T256" s="44">
        <v>13.5</v>
      </c>
      <c r="U256" s="44">
        <v>15.8</v>
      </c>
      <c r="V256" s="44">
        <v>14.4</v>
      </c>
      <c r="W256" s="44">
        <v>13.6</v>
      </c>
      <c r="X256" s="44">
        <v>16.5</v>
      </c>
      <c r="Y256" s="44">
        <v>14.9</v>
      </c>
      <c r="Z256" s="44">
        <v>17.3</v>
      </c>
      <c r="AA256" s="44">
        <v>14.2</v>
      </c>
      <c r="AB256" s="44">
        <v>13.9</v>
      </c>
    </row>
    <row r="257" spans="1:28" ht="15" customHeight="1" x14ac:dyDescent="0.25">
      <c r="A257" s="56" t="s">
        <v>301</v>
      </c>
      <c r="B257" s="42">
        <v>34</v>
      </c>
      <c r="C257" s="42">
        <v>128</v>
      </c>
      <c r="D257" s="42">
        <v>123</v>
      </c>
      <c r="E257" s="42">
        <v>50</v>
      </c>
      <c r="F257" s="42">
        <v>201</v>
      </c>
      <c r="G257" s="42">
        <v>45</v>
      </c>
      <c r="H257" s="42">
        <v>112</v>
      </c>
      <c r="I257" s="42">
        <v>51</v>
      </c>
      <c r="J257" s="42">
        <v>125</v>
      </c>
      <c r="K257" s="42">
        <v>2511</v>
      </c>
      <c r="L257" s="42">
        <v>7575</v>
      </c>
      <c r="M257" s="42">
        <v>7894</v>
      </c>
      <c r="N257" s="42">
        <v>3378</v>
      </c>
      <c r="O257" s="42">
        <v>11468</v>
      </c>
      <c r="P257" s="42">
        <v>2897</v>
      </c>
      <c r="Q257" s="42">
        <v>6199</v>
      </c>
      <c r="R257" s="42">
        <v>3189</v>
      </c>
      <c r="S257" s="42">
        <v>8258</v>
      </c>
      <c r="T257" s="44">
        <v>13.4</v>
      </c>
      <c r="U257" s="44">
        <v>16.899999999999999</v>
      </c>
      <c r="V257" s="44">
        <v>15.6</v>
      </c>
      <c r="W257" s="44">
        <v>14.7</v>
      </c>
      <c r="X257" s="44">
        <v>17.5</v>
      </c>
      <c r="Y257" s="44">
        <v>15.6</v>
      </c>
      <c r="Z257" s="44">
        <v>18.100000000000001</v>
      </c>
      <c r="AA257" s="44">
        <v>15.9</v>
      </c>
      <c r="AB257" s="44">
        <v>15.1</v>
      </c>
    </row>
    <row r="258" spans="1:28" ht="15" customHeight="1" x14ac:dyDescent="0.25">
      <c r="A258" s="56" t="s">
        <v>302</v>
      </c>
      <c r="B258" s="42">
        <v>35</v>
      </c>
      <c r="C258" s="42">
        <v>127</v>
      </c>
      <c r="D258" s="42">
        <v>123</v>
      </c>
      <c r="E258" s="42">
        <v>51</v>
      </c>
      <c r="F258" s="42">
        <v>205</v>
      </c>
      <c r="G258" s="42">
        <v>45</v>
      </c>
      <c r="H258" s="42">
        <v>108</v>
      </c>
      <c r="I258" s="42">
        <v>45</v>
      </c>
      <c r="J258" s="42">
        <v>117</v>
      </c>
      <c r="K258" s="42">
        <v>2696</v>
      </c>
      <c r="L258" s="42">
        <v>7622</v>
      </c>
      <c r="M258" s="42">
        <v>8535</v>
      </c>
      <c r="N258" s="42">
        <v>3624</v>
      </c>
      <c r="O258" s="42">
        <v>11789</v>
      </c>
      <c r="P258" s="42">
        <v>2681</v>
      </c>
      <c r="Q258" s="42">
        <v>5990</v>
      </c>
      <c r="R258" s="42">
        <v>2952</v>
      </c>
      <c r="S258" s="42">
        <v>8367</v>
      </c>
      <c r="T258" s="44">
        <v>12.9</v>
      </c>
      <c r="U258" s="44">
        <v>16.7</v>
      </c>
      <c r="V258" s="44">
        <v>14.4</v>
      </c>
      <c r="W258" s="44">
        <v>14.1</v>
      </c>
      <c r="X258" s="44">
        <v>17.3</v>
      </c>
      <c r="Y258" s="44">
        <v>16.8</v>
      </c>
      <c r="Z258" s="44">
        <v>18</v>
      </c>
      <c r="AA258" s="44">
        <v>15.3</v>
      </c>
      <c r="AB258" s="44">
        <v>14</v>
      </c>
    </row>
    <row r="259" spans="1:28" ht="15" customHeight="1" x14ac:dyDescent="0.25">
      <c r="A259" s="56" t="s">
        <v>303</v>
      </c>
      <c r="B259" s="42">
        <v>24</v>
      </c>
      <c r="C259" s="42">
        <v>64</v>
      </c>
      <c r="D259" s="42">
        <v>74</v>
      </c>
      <c r="E259" s="42">
        <v>30</v>
      </c>
      <c r="F259" s="42">
        <v>120</v>
      </c>
      <c r="G259" s="42">
        <v>27</v>
      </c>
      <c r="H259" s="42">
        <v>78</v>
      </c>
      <c r="I259" s="42">
        <v>29</v>
      </c>
      <c r="J259" s="42">
        <v>77</v>
      </c>
      <c r="K259" s="42">
        <v>1899</v>
      </c>
      <c r="L259" s="42">
        <v>4660</v>
      </c>
      <c r="M259" s="42">
        <v>5161</v>
      </c>
      <c r="N259" s="42">
        <v>2521</v>
      </c>
      <c r="O259" s="42">
        <v>7724</v>
      </c>
      <c r="P259" s="42">
        <v>1954</v>
      </c>
      <c r="Q259" s="42">
        <v>4619</v>
      </c>
      <c r="R259" s="42">
        <v>2056</v>
      </c>
      <c r="S259" s="42">
        <v>5641</v>
      </c>
      <c r="T259" s="44">
        <v>12.6</v>
      </c>
      <c r="U259" s="44">
        <v>13.8</v>
      </c>
      <c r="V259" s="44">
        <v>14.3</v>
      </c>
      <c r="W259" s="44">
        <v>12</v>
      </c>
      <c r="X259" s="44">
        <v>15.6</v>
      </c>
      <c r="Y259" s="44">
        <v>13.9</v>
      </c>
      <c r="Z259" s="44">
        <v>16.899999999999999</v>
      </c>
      <c r="AA259" s="44">
        <v>14.3</v>
      </c>
      <c r="AB259" s="44">
        <v>13.6</v>
      </c>
    </row>
    <row r="260" spans="1:28" ht="15" customHeight="1" x14ac:dyDescent="0.25">
      <c r="A260" s="56" t="s">
        <v>304</v>
      </c>
      <c r="B260" s="42">
        <v>41</v>
      </c>
      <c r="C260" s="42">
        <v>148</v>
      </c>
      <c r="D260" s="42">
        <v>145</v>
      </c>
      <c r="E260" s="42">
        <v>62</v>
      </c>
      <c r="F260" s="42">
        <v>243</v>
      </c>
      <c r="G260" s="42">
        <v>55</v>
      </c>
      <c r="H260" s="42">
        <v>145</v>
      </c>
      <c r="I260" s="42">
        <v>54</v>
      </c>
      <c r="J260" s="42">
        <v>137</v>
      </c>
      <c r="K260" s="42">
        <v>3164</v>
      </c>
      <c r="L260" s="42">
        <v>9569</v>
      </c>
      <c r="M260" s="42">
        <v>9955</v>
      </c>
      <c r="N260" s="42">
        <v>4484</v>
      </c>
      <c r="O260" s="42">
        <v>14307</v>
      </c>
      <c r="P260" s="42">
        <v>3404</v>
      </c>
      <c r="Q260" s="42">
        <v>8084</v>
      </c>
      <c r="R260" s="42">
        <v>3708</v>
      </c>
      <c r="S260" s="42">
        <v>10007</v>
      </c>
      <c r="T260" s="44">
        <v>12.9</v>
      </c>
      <c r="U260" s="44">
        <v>15.5</v>
      </c>
      <c r="V260" s="44">
        <v>14.6</v>
      </c>
      <c r="W260" s="44">
        <v>13.7</v>
      </c>
      <c r="X260" s="44">
        <v>17</v>
      </c>
      <c r="Y260" s="44">
        <v>16.100000000000001</v>
      </c>
      <c r="Z260" s="44">
        <v>17.899999999999999</v>
      </c>
      <c r="AA260" s="44">
        <v>14.5</v>
      </c>
      <c r="AB260" s="44">
        <v>13.7</v>
      </c>
    </row>
    <row r="261" spans="1:28" ht="15" customHeight="1" x14ac:dyDescent="0.25">
      <c r="A261" s="56" t="s">
        <v>305</v>
      </c>
      <c r="B261" s="42">
        <v>38</v>
      </c>
      <c r="C261" s="42">
        <v>140</v>
      </c>
      <c r="D261" s="42">
        <v>130</v>
      </c>
      <c r="E261" s="42">
        <v>55</v>
      </c>
      <c r="F261" s="42">
        <v>207</v>
      </c>
      <c r="G261" s="42">
        <v>47</v>
      </c>
      <c r="H261" s="42">
        <v>116</v>
      </c>
      <c r="I261" s="42">
        <v>47</v>
      </c>
      <c r="J261" s="42">
        <v>128</v>
      </c>
      <c r="K261" s="42">
        <v>2989</v>
      </c>
      <c r="L261" s="42">
        <v>8665</v>
      </c>
      <c r="M261" s="42">
        <v>9111</v>
      </c>
      <c r="N261" s="42">
        <v>3942</v>
      </c>
      <c r="O261" s="42">
        <v>12279</v>
      </c>
      <c r="P261" s="42">
        <v>3057</v>
      </c>
      <c r="Q261" s="42">
        <v>6763</v>
      </c>
      <c r="R261" s="42">
        <v>3360</v>
      </c>
      <c r="S261" s="42">
        <v>9111</v>
      </c>
      <c r="T261" s="44">
        <v>12.5</v>
      </c>
      <c r="U261" s="44">
        <v>16.2</v>
      </c>
      <c r="V261" s="44">
        <v>14.3</v>
      </c>
      <c r="W261" s="44">
        <v>13.9</v>
      </c>
      <c r="X261" s="44">
        <v>16.899999999999999</v>
      </c>
      <c r="Y261" s="44">
        <v>15.5</v>
      </c>
      <c r="Z261" s="44">
        <v>17.2</v>
      </c>
      <c r="AA261" s="44">
        <v>13.9</v>
      </c>
      <c r="AB261" s="44">
        <v>14.1</v>
      </c>
    </row>
    <row r="262" spans="1:28" ht="24" customHeight="1" x14ac:dyDescent="0.25">
      <c r="A262" s="40" t="s">
        <v>306</v>
      </c>
      <c r="B262" s="32" t="s">
        <v>16</v>
      </c>
      <c r="C262" s="32" t="s">
        <v>16</v>
      </c>
      <c r="D262" s="32" t="s">
        <v>16</v>
      </c>
      <c r="E262" s="32" t="s">
        <v>16</v>
      </c>
      <c r="F262" s="32" t="s">
        <v>16</v>
      </c>
      <c r="G262" s="32" t="s">
        <v>16</v>
      </c>
      <c r="H262" s="32" t="s">
        <v>16</v>
      </c>
      <c r="I262" s="32" t="s">
        <v>16</v>
      </c>
      <c r="J262" s="32" t="s">
        <v>16</v>
      </c>
      <c r="K262" s="32" t="s">
        <v>16</v>
      </c>
      <c r="L262" s="32" t="s">
        <v>16</v>
      </c>
      <c r="M262" s="32" t="s">
        <v>16</v>
      </c>
      <c r="N262" s="32" t="s">
        <v>16</v>
      </c>
      <c r="O262" s="32" t="s">
        <v>16</v>
      </c>
      <c r="P262" s="32" t="s">
        <v>16</v>
      </c>
      <c r="Q262" s="32" t="s">
        <v>16</v>
      </c>
      <c r="R262" s="32" t="s">
        <v>16</v>
      </c>
      <c r="S262" s="32" t="s">
        <v>16</v>
      </c>
      <c r="T262" s="34" t="s">
        <v>16</v>
      </c>
      <c r="U262" s="34" t="s">
        <v>16</v>
      </c>
      <c r="V262" s="34" t="s">
        <v>16</v>
      </c>
      <c r="W262" s="34" t="s">
        <v>16</v>
      </c>
      <c r="X262" s="34" t="s">
        <v>16</v>
      </c>
      <c r="Y262" s="34" t="s">
        <v>16</v>
      </c>
      <c r="Z262" s="34" t="s">
        <v>16</v>
      </c>
      <c r="AA262" s="34" t="s">
        <v>16</v>
      </c>
      <c r="AB262" s="34" t="s">
        <v>16</v>
      </c>
    </row>
    <row r="263" spans="1:28" ht="15" customHeight="1" x14ac:dyDescent="0.25">
      <c r="A263" s="35" t="s">
        <v>307</v>
      </c>
      <c r="B263" s="42">
        <v>3</v>
      </c>
      <c r="C263" s="42" t="s">
        <v>28</v>
      </c>
      <c r="D263" s="42">
        <v>8</v>
      </c>
      <c r="E263" s="42">
        <v>3</v>
      </c>
      <c r="F263" s="42">
        <v>13</v>
      </c>
      <c r="G263" s="42">
        <v>5</v>
      </c>
      <c r="H263" s="42">
        <v>12</v>
      </c>
      <c r="I263" s="42">
        <v>4</v>
      </c>
      <c r="J263" s="42">
        <v>10</v>
      </c>
      <c r="K263" s="42" t="s">
        <v>28</v>
      </c>
      <c r="L263" s="42">
        <v>669</v>
      </c>
      <c r="M263" s="42">
        <v>983</v>
      </c>
      <c r="N263" s="42">
        <v>715</v>
      </c>
      <c r="O263" s="42">
        <v>1352</v>
      </c>
      <c r="P263" s="42">
        <v>588</v>
      </c>
      <c r="Q263" s="42">
        <v>1400</v>
      </c>
      <c r="R263" s="42">
        <v>474</v>
      </c>
      <c r="S263" s="42">
        <v>1118</v>
      </c>
      <c r="T263" s="44" t="s">
        <v>28</v>
      </c>
      <c r="U263" s="44" t="s">
        <v>28</v>
      </c>
      <c r="V263" s="44">
        <v>8.3000000000000007</v>
      </c>
      <c r="W263" s="44">
        <v>4.7</v>
      </c>
      <c r="X263" s="44">
        <v>9.6999999999999993</v>
      </c>
      <c r="Y263" s="44">
        <v>8.9</v>
      </c>
      <c r="Z263" s="44">
        <v>8.3000000000000007</v>
      </c>
      <c r="AA263" s="44">
        <v>7.7</v>
      </c>
      <c r="AB263" s="44">
        <v>8.8000000000000007</v>
      </c>
    </row>
    <row r="264" spans="1:28" ht="15" customHeight="1" x14ac:dyDescent="0.25">
      <c r="A264" s="41" t="s">
        <v>308</v>
      </c>
      <c r="B264" s="42">
        <v>9</v>
      </c>
      <c r="C264" s="42">
        <v>16</v>
      </c>
      <c r="D264" s="42">
        <v>28</v>
      </c>
      <c r="E264" s="42">
        <v>13</v>
      </c>
      <c r="F264" s="42">
        <v>52</v>
      </c>
      <c r="G264" s="42">
        <v>13</v>
      </c>
      <c r="H264" s="42">
        <v>33</v>
      </c>
      <c r="I264" s="42">
        <v>10</v>
      </c>
      <c r="J264" s="42">
        <v>31</v>
      </c>
      <c r="K264" s="42">
        <v>846</v>
      </c>
      <c r="L264" s="42">
        <v>1611</v>
      </c>
      <c r="M264" s="42">
        <v>2283</v>
      </c>
      <c r="N264" s="42">
        <v>1299</v>
      </c>
      <c r="O264" s="42">
        <v>3318</v>
      </c>
      <c r="P264" s="42">
        <v>911</v>
      </c>
      <c r="Q264" s="42">
        <v>2044</v>
      </c>
      <c r="R264" s="42">
        <v>782</v>
      </c>
      <c r="S264" s="42">
        <v>2575</v>
      </c>
      <c r="T264" s="44">
        <v>11.2</v>
      </c>
      <c r="U264" s="44">
        <v>10</v>
      </c>
      <c r="V264" s="44">
        <v>12.1</v>
      </c>
      <c r="W264" s="44">
        <v>10</v>
      </c>
      <c r="X264" s="44">
        <v>15.5</v>
      </c>
      <c r="Y264" s="44">
        <v>14.7</v>
      </c>
      <c r="Z264" s="44">
        <v>16.3</v>
      </c>
      <c r="AA264" s="44">
        <v>12.7</v>
      </c>
      <c r="AB264" s="44">
        <v>11.9</v>
      </c>
    </row>
    <row r="265" spans="1:28" ht="15" customHeight="1" x14ac:dyDescent="0.25">
      <c r="A265" s="41" t="s">
        <v>146</v>
      </c>
      <c r="B265" s="42" t="s">
        <v>28</v>
      </c>
      <c r="C265" s="42">
        <v>17</v>
      </c>
      <c r="D265" s="42">
        <v>19</v>
      </c>
      <c r="E265" s="42">
        <v>8</v>
      </c>
      <c r="F265" s="42">
        <v>32</v>
      </c>
      <c r="G265" s="42">
        <v>8</v>
      </c>
      <c r="H265" s="42">
        <v>20</v>
      </c>
      <c r="I265" s="42">
        <v>6</v>
      </c>
      <c r="J265" s="42">
        <v>20</v>
      </c>
      <c r="K265" s="42" t="s">
        <v>28</v>
      </c>
      <c r="L265" s="42">
        <v>1142</v>
      </c>
      <c r="M265" s="42">
        <v>1390</v>
      </c>
      <c r="N265" s="42">
        <v>730</v>
      </c>
      <c r="O265" s="42">
        <v>1723</v>
      </c>
      <c r="P265" s="42">
        <v>649</v>
      </c>
      <c r="Q265" s="42">
        <v>1156</v>
      </c>
      <c r="R265" s="42">
        <v>515</v>
      </c>
      <c r="S265" s="42">
        <v>1866</v>
      </c>
      <c r="T265" s="44" t="s">
        <v>28</v>
      </c>
      <c r="U265" s="44">
        <v>15</v>
      </c>
      <c r="V265" s="44">
        <v>14</v>
      </c>
      <c r="W265" s="44">
        <v>11.6</v>
      </c>
      <c r="X265" s="44">
        <v>18.399999999999999</v>
      </c>
      <c r="Y265" s="44">
        <v>12.1</v>
      </c>
      <c r="Z265" s="44">
        <v>17.399999999999999</v>
      </c>
      <c r="AA265" s="44">
        <v>11.5</v>
      </c>
      <c r="AB265" s="44">
        <v>11</v>
      </c>
    </row>
    <row r="266" spans="1:28" ht="15" customHeight="1" x14ac:dyDescent="0.25">
      <c r="A266" s="41" t="s">
        <v>147</v>
      </c>
      <c r="B266" s="42">
        <v>6</v>
      </c>
      <c r="C266" s="42">
        <v>17</v>
      </c>
      <c r="D266" s="42">
        <v>17</v>
      </c>
      <c r="E266" s="42">
        <v>7</v>
      </c>
      <c r="F266" s="42">
        <v>29</v>
      </c>
      <c r="G266" s="42">
        <v>8</v>
      </c>
      <c r="H266" s="42">
        <v>15</v>
      </c>
      <c r="I266" s="42">
        <v>6</v>
      </c>
      <c r="J266" s="42">
        <v>26</v>
      </c>
      <c r="K266" s="42">
        <v>494</v>
      </c>
      <c r="L266" s="42">
        <v>1150</v>
      </c>
      <c r="M266" s="42">
        <v>1304</v>
      </c>
      <c r="N266" s="42">
        <v>522</v>
      </c>
      <c r="O266" s="42">
        <v>1903</v>
      </c>
      <c r="P266" s="42">
        <v>649</v>
      </c>
      <c r="Q266" s="42">
        <v>979</v>
      </c>
      <c r="R266" s="42">
        <v>429</v>
      </c>
      <c r="S266" s="42">
        <v>1958</v>
      </c>
      <c r="T266" s="44">
        <v>12.1</v>
      </c>
      <c r="U266" s="44">
        <v>14.4</v>
      </c>
      <c r="V266" s="44">
        <v>13.2</v>
      </c>
      <c r="W266" s="44">
        <v>12.8</v>
      </c>
      <c r="X266" s="44">
        <v>15.1</v>
      </c>
      <c r="Y266" s="44">
        <v>12.6</v>
      </c>
      <c r="Z266" s="44">
        <v>14.9</v>
      </c>
      <c r="AA266" s="44">
        <v>13.4</v>
      </c>
      <c r="AB266" s="44">
        <v>13.1</v>
      </c>
    </row>
    <row r="267" spans="1:28" ht="15" customHeight="1" x14ac:dyDescent="0.25">
      <c r="A267" s="35" t="s">
        <v>148</v>
      </c>
      <c r="B267" s="42">
        <v>9</v>
      </c>
      <c r="C267" s="42">
        <v>22</v>
      </c>
      <c r="D267" s="42">
        <v>28</v>
      </c>
      <c r="E267" s="42">
        <v>13</v>
      </c>
      <c r="F267" s="42">
        <v>50</v>
      </c>
      <c r="G267" s="42">
        <v>13</v>
      </c>
      <c r="H267" s="42">
        <v>35</v>
      </c>
      <c r="I267" s="42">
        <v>13</v>
      </c>
      <c r="J267" s="42">
        <v>28</v>
      </c>
      <c r="K267" s="42">
        <v>717</v>
      </c>
      <c r="L267" s="42">
        <v>1610</v>
      </c>
      <c r="M267" s="42">
        <v>1633</v>
      </c>
      <c r="N267" s="42">
        <v>958</v>
      </c>
      <c r="O267" s="42">
        <v>2966</v>
      </c>
      <c r="P267" s="42">
        <v>758</v>
      </c>
      <c r="Q267" s="42">
        <v>1623</v>
      </c>
      <c r="R267" s="42">
        <v>873</v>
      </c>
      <c r="S267" s="42">
        <v>1957</v>
      </c>
      <c r="T267" s="44">
        <v>12.6</v>
      </c>
      <c r="U267" s="44">
        <v>13.8</v>
      </c>
      <c r="V267" s="44">
        <v>17.100000000000001</v>
      </c>
      <c r="W267" s="44">
        <v>13.7</v>
      </c>
      <c r="X267" s="44">
        <v>16.8</v>
      </c>
      <c r="Y267" s="44">
        <v>16.8</v>
      </c>
      <c r="Z267" s="44">
        <v>21.3</v>
      </c>
      <c r="AA267" s="44">
        <v>14.7</v>
      </c>
      <c r="AB267" s="44">
        <v>14.1</v>
      </c>
    </row>
    <row r="268" spans="1:28" ht="15" customHeight="1" x14ac:dyDescent="0.25">
      <c r="A268" s="41" t="s">
        <v>149</v>
      </c>
      <c r="B268" s="42">
        <v>6</v>
      </c>
      <c r="C268" s="42">
        <v>15</v>
      </c>
      <c r="D268" s="42">
        <v>22</v>
      </c>
      <c r="E268" s="42">
        <v>6</v>
      </c>
      <c r="F268" s="42">
        <v>25</v>
      </c>
      <c r="G268" s="42">
        <v>8</v>
      </c>
      <c r="H268" s="42">
        <v>15</v>
      </c>
      <c r="I268" s="42">
        <v>7</v>
      </c>
      <c r="J268" s="42">
        <v>16</v>
      </c>
      <c r="K268" s="42">
        <v>430</v>
      </c>
      <c r="L268" s="42">
        <v>936</v>
      </c>
      <c r="M268" s="42">
        <v>1532</v>
      </c>
      <c r="N268" s="42">
        <v>452</v>
      </c>
      <c r="O268" s="42">
        <v>1713</v>
      </c>
      <c r="P268" s="42">
        <v>456</v>
      </c>
      <c r="Q268" s="42">
        <v>1074</v>
      </c>
      <c r="R268" s="42">
        <v>434</v>
      </c>
      <c r="S268" s="42">
        <v>1259</v>
      </c>
      <c r="T268" s="44">
        <v>13.4</v>
      </c>
      <c r="U268" s="44">
        <v>15.6</v>
      </c>
      <c r="V268" s="44">
        <v>14.6</v>
      </c>
      <c r="W268" s="44">
        <v>13.6</v>
      </c>
      <c r="X268" s="44">
        <v>14.6</v>
      </c>
      <c r="Y268" s="44">
        <v>18.100000000000001</v>
      </c>
      <c r="Z268" s="44">
        <v>13.7</v>
      </c>
      <c r="AA268" s="44">
        <v>15.9</v>
      </c>
      <c r="AB268" s="44">
        <v>12.7</v>
      </c>
    </row>
    <row r="269" spans="1:28" ht="15" customHeight="1" x14ac:dyDescent="0.25">
      <c r="A269" s="41" t="s">
        <v>150</v>
      </c>
      <c r="B269" s="42">
        <v>6</v>
      </c>
      <c r="C269" s="42">
        <v>34</v>
      </c>
      <c r="D269" s="42">
        <v>19</v>
      </c>
      <c r="E269" s="42">
        <v>12</v>
      </c>
      <c r="F269" s="42">
        <v>41</v>
      </c>
      <c r="G269" s="42">
        <v>6</v>
      </c>
      <c r="H269" s="42">
        <v>13</v>
      </c>
      <c r="I269" s="42">
        <v>12</v>
      </c>
      <c r="J269" s="42">
        <v>18</v>
      </c>
      <c r="K269" s="42">
        <v>432</v>
      </c>
      <c r="L269" s="42">
        <v>1870</v>
      </c>
      <c r="M269" s="42">
        <v>1569</v>
      </c>
      <c r="N269" s="42">
        <v>634</v>
      </c>
      <c r="O269" s="42">
        <v>2156</v>
      </c>
      <c r="P269" s="42">
        <v>410</v>
      </c>
      <c r="Q269" s="42">
        <v>826</v>
      </c>
      <c r="R269" s="42">
        <v>653</v>
      </c>
      <c r="S269" s="42">
        <v>1179</v>
      </c>
      <c r="T269" s="44">
        <v>13.4</v>
      </c>
      <c r="U269" s="44">
        <v>17.899999999999999</v>
      </c>
      <c r="V269" s="44">
        <v>11.9</v>
      </c>
      <c r="W269" s="44">
        <v>19</v>
      </c>
      <c r="X269" s="44">
        <v>18.8</v>
      </c>
      <c r="Y269" s="44">
        <v>15.5</v>
      </c>
      <c r="Z269" s="44">
        <v>15.3</v>
      </c>
      <c r="AA269" s="44">
        <v>18.5</v>
      </c>
      <c r="AB269" s="44">
        <v>15.3</v>
      </c>
    </row>
    <row r="270" spans="1:28" ht="15" customHeight="1" x14ac:dyDescent="0.25">
      <c r="A270" s="41" t="s">
        <v>151</v>
      </c>
      <c r="B270" s="42">
        <v>9</v>
      </c>
      <c r="C270" s="42">
        <v>42</v>
      </c>
      <c r="D270" s="42">
        <v>33</v>
      </c>
      <c r="E270" s="42">
        <v>12</v>
      </c>
      <c r="F270" s="42">
        <v>46</v>
      </c>
      <c r="G270" s="42">
        <v>9</v>
      </c>
      <c r="H270" s="42">
        <v>31</v>
      </c>
      <c r="I270" s="42">
        <v>10</v>
      </c>
      <c r="J270" s="42">
        <v>28</v>
      </c>
      <c r="K270" s="42">
        <v>518</v>
      </c>
      <c r="L270" s="42">
        <v>2110</v>
      </c>
      <c r="M270" s="42">
        <v>1850</v>
      </c>
      <c r="N270" s="42">
        <v>706</v>
      </c>
      <c r="O270" s="42">
        <v>2476</v>
      </c>
      <c r="P270" s="42">
        <v>403</v>
      </c>
      <c r="Q270" s="42">
        <v>1493</v>
      </c>
      <c r="R270" s="42">
        <v>653</v>
      </c>
      <c r="S270" s="42">
        <v>1268</v>
      </c>
      <c r="T270" s="44">
        <v>16.7</v>
      </c>
      <c r="U270" s="44">
        <v>20.100000000000001</v>
      </c>
      <c r="V270" s="44">
        <v>17.899999999999999</v>
      </c>
      <c r="W270" s="44">
        <v>17.100000000000001</v>
      </c>
      <c r="X270" s="44">
        <v>18.7</v>
      </c>
      <c r="Y270" s="44">
        <v>21.4</v>
      </c>
      <c r="Z270" s="44">
        <v>21</v>
      </c>
      <c r="AA270" s="44">
        <v>15.3</v>
      </c>
      <c r="AB270" s="44">
        <v>21.9</v>
      </c>
    </row>
    <row r="271" spans="1:28" ht="24" customHeight="1" x14ac:dyDescent="0.25">
      <c r="A271" s="40" t="s">
        <v>309</v>
      </c>
      <c r="B271" s="32" t="s">
        <v>16</v>
      </c>
      <c r="C271" s="32" t="s">
        <v>16</v>
      </c>
      <c r="D271" s="32" t="s">
        <v>16</v>
      </c>
      <c r="E271" s="32" t="s">
        <v>16</v>
      </c>
      <c r="F271" s="32" t="s">
        <v>16</v>
      </c>
      <c r="G271" s="32" t="s">
        <v>16</v>
      </c>
      <c r="H271" s="32" t="s">
        <v>16</v>
      </c>
      <c r="I271" s="32" t="s">
        <v>16</v>
      </c>
      <c r="J271" s="32" t="s">
        <v>16</v>
      </c>
      <c r="K271" s="32" t="s">
        <v>16</v>
      </c>
      <c r="L271" s="32" t="s">
        <v>16</v>
      </c>
      <c r="M271" s="32" t="s">
        <v>16</v>
      </c>
      <c r="N271" s="32" t="s">
        <v>16</v>
      </c>
      <c r="O271" s="32" t="s">
        <v>16</v>
      </c>
      <c r="P271" s="32" t="s">
        <v>16</v>
      </c>
      <c r="Q271" s="32" t="s">
        <v>16</v>
      </c>
      <c r="R271" s="32" t="s">
        <v>16</v>
      </c>
      <c r="S271" s="32" t="s">
        <v>16</v>
      </c>
      <c r="T271" s="34" t="s">
        <v>16</v>
      </c>
      <c r="U271" s="34" t="s">
        <v>16</v>
      </c>
      <c r="V271" s="34" t="s">
        <v>16</v>
      </c>
      <c r="W271" s="34" t="s">
        <v>16</v>
      </c>
      <c r="X271" s="34" t="s">
        <v>16</v>
      </c>
      <c r="Y271" s="34" t="s">
        <v>16</v>
      </c>
      <c r="Z271" s="34" t="s">
        <v>16</v>
      </c>
      <c r="AA271" s="34" t="s">
        <v>16</v>
      </c>
      <c r="AB271" s="34" t="s">
        <v>16</v>
      </c>
    </row>
    <row r="272" spans="1:28" ht="15" customHeight="1" x14ac:dyDescent="0.25">
      <c r="A272" s="35" t="s">
        <v>307</v>
      </c>
      <c r="B272" s="42">
        <v>9</v>
      </c>
      <c r="C272" s="42">
        <v>32</v>
      </c>
      <c r="D272" s="42">
        <v>38</v>
      </c>
      <c r="E272" s="42">
        <v>15</v>
      </c>
      <c r="F272" s="42">
        <v>56</v>
      </c>
      <c r="G272" s="42">
        <v>19</v>
      </c>
      <c r="H272" s="42">
        <v>43</v>
      </c>
      <c r="I272" s="42">
        <v>16</v>
      </c>
      <c r="J272" s="42">
        <v>47</v>
      </c>
      <c r="K272" s="42">
        <v>1099</v>
      </c>
      <c r="L272" s="42">
        <v>2418</v>
      </c>
      <c r="M272" s="42">
        <v>3037</v>
      </c>
      <c r="N272" s="42">
        <v>1628</v>
      </c>
      <c r="O272" s="42">
        <v>3657</v>
      </c>
      <c r="P272" s="42">
        <v>1402</v>
      </c>
      <c r="Q272" s="42">
        <v>3044</v>
      </c>
      <c r="R272" s="42">
        <v>1198</v>
      </c>
      <c r="S272" s="42">
        <v>3898</v>
      </c>
      <c r="T272" s="44">
        <v>8</v>
      </c>
      <c r="U272" s="44">
        <v>13.4</v>
      </c>
      <c r="V272" s="44">
        <v>12.4</v>
      </c>
      <c r="W272" s="44">
        <v>9.4</v>
      </c>
      <c r="X272" s="44">
        <v>15.4</v>
      </c>
      <c r="Y272" s="44">
        <v>13.9</v>
      </c>
      <c r="Z272" s="44">
        <v>14</v>
      </c>
      <c r="AA272" s="44">
        <v>13.2</v>
      </c>
      <c r="AB272" s="44">
        <v>11.9</v>
      </c>
    </row>
    <row r="273" spans="1:28" ht="15" customHeight="1" x14ac:dyDescent="0.25">
      <c r="A273" s="41" t="s">
        <v>308</v>
      </c>
      <c r="B273" s="42">
        <v>12</v>
      </c>
      <c r="C273" s="42">
        <v>26</v>
      </c>
      <c r="D273" s="42">
        <v>42</v>
      </c>
      <c r="E273" s="42">
        <v>18</v>
      </c>
      <c r="F273" s="42">
        <v>63</v>
      </c>
      <c r="G273" s="42">
        <v>17</v>
      </c>
      <c r="H273" s="42">
        <v>42</v>
      </c>
      <c r="I273" s="42">
        <v>14</v>
      </c>
      <c r="J273" s="42">
        <v>39</v>
      </c>
      <c r="K273" s="42">
        <v>1083</v>
      </c>
      <c r="L273" s="42">
        <v>2267</v>
      </c>
      <c r="M273" s="42">
        <v>3260</v>
      </c>
      <c r="N273" s="42">
        <v>1785</v>
      </c>
      <c r="O273" s="42">
        <v>4218</v>
      </c>
      <c r="P273" s="42">
        <v>1281</v>
      </c>
      <c r="Q273" s="42">
        <v>2580</v>
      </c>
      <c r="R273" s="42">
        <v>1163</v>
      </c>
      <c r="S273" s="42">
        <v>3524</v>
      </c>
      <c r="T273" s="44">
        <v>11</v>
      </c>
      <c r="U273" s="44">
        <v>11.4</v>
      </c>
      <c r="V273" s="44">
        <v>12.9</v>
      </c>
      <c r="W273" s="44">
        <v>10.199999999999999</v>
      </c>
      <c r="X273" s="44">
        <v>14.9</v>
      </c>
      <c r="Y273" s="44">
        <v>13</v>
      </c>
      <c r="Z273" s="44">
        <v>16.3</v>
      </c>
      <c r="AA273" s="44">
        <v>11.9</v>
      </c>
      <c r="AB273" s="44">
        <v>11.2</v>
      </c>
    </row>
    <row r="274" spans="1:28" ht="15" customHeight="1" x14ac:dyDescent="0.25">
      <c r="A274" s="41" t="s">
        <v>146</v>
      </c>
      <c r="B274" s="42">
        <v>5</v>
      </c>
      <c r="C274" s="42">
        <v>20</v>
      </c>
      <c r="D274" s="42">
        <v>17</v>
      </c>
      <c r="E274" s="42">
        <v>6</v>
      </c>
      <c r="F274" s="42">
        <v>34</v>
      </c>
      <c r="G274" s="42">
        <v>6</v>
      </c>
      <c r="H274" s="42">
        <v>16</v>
      </c>
      <c r="I274" s="42">
        <v>8</v>
      </c>
      <c r="J274" s="42">
        <v>14</v>
      </c>
      <c r="K274" s="42">
        <v>323</v>
      </c>
      <c r="L274" s="42">
        <v>1082</v>
      </c>
      <c r="M274" s="42">
        <v>1063</v>
      </c>
      <c r="N274" s="42">
        <v>415</v>
      </c>
      <c r="O274" s="42">
        <v>2003</v>
      </c>
      <c r="P274" s="42">
        <v>452</v>
      </c>
      <c r="Q274" s="42">
        <v>1113</v>
      </c>
      <c r="R274" s="42">
        <v>509</v>
      </c>
      <c r="S274" s="42">
        <v>1384</v>
      </c>
      <c r="T274" s="44">
        <v>16.8</v>
      </c>
      <c r="U274" s="44">
        <v>18.5</v>
      </c>
      <c r="V274" s="44">
        <v>16.5</v>
      </c>
      <c r="W274" s="44">
        <v>14.2</v>
      </c>
      <c r="X274" s="44">
        <v>16.899999999999999</v>
      </c>
      <c r="Y274" s="44">
        <v>12.7</v>
      </c>
      <c r="Z274" s="44">
        <v>14.5</v>
      </c>
      <c r="AA274" s="44">
        <v>15.6</v>
      </c>
      <c r="AB274" s="44">
        <v>9.9</v>
      </c>
    </row>
    <row r="275" spans="1:28" ht="15" customHeight="1" x14ac:dyDescent="0.25">
      <c r="A275" s="41" t="s">
        <v>147</v>
      </c>
      <c r="B275" s="42">
        <v>8</v>
      </c>
      <c r="C275" s="42">
        <v>14</v>
      </c>
      <c r="D275" s="42">
        <v>14</v>
      </c>
      <c r="E275" s="42">
        <v>6</v>
      </c>
      <c r="F275" s="42">
        <v>32</v>
      </c>
      <c r="G275" s="42">
        <v>10</v>
      </c>
      <c r="H275" s="42">
        <v>15</v>
      </c>
      <c r="I275" s="42">
        <v>5</v>
      </c>
      <c r="J275" s="42">
        <v>27</v>
      </c>
      <c r="K275" s="42">
        <v>521</v>
      </c>
      <c r="L275" s="42">
        <v>979</v>
      </c>
      <c r="M275" s="42">
        <v>1060</v>
      </c>
      <c r="N275" s="42">
        <v>414</v>
      </c>
      <c r="O275" s="42">
        <v>1994</v>
      </c>
      <c r="P275" s="42">
        <v>489</v>
      </c>
      <c r="Q275" s="42">
        <v>904</v>
      </c>
      <c r="R275" s="42">
        <v>405</v>
      </c>
      <c r="S275" s="42">
        <v>1579</v>
      </c>
      <c r="T275" s="44">
        <v>15</v>
      </c>
      <c r="U275" s="44">
        <v>14</v>
      </c>
      <c r="V275" s="44">
        <v>13.4</v>
      </c>
      <c r="W275" s="44">
        <v>14.9</v>
      </c>
      <c r="X275" s="44">
        <v>15.9</v>
      </c>
      <c r="Y275" s="44">
        <v>21.1</v>
      </c>
      <c r="Z275" s="44">
        <v>16.100000000000001</v>
      </c>
      <c r="AA275" s="44">
        <v>12.3</v>
      </c>
      <c r="AB275" s="44">
        <v>17.2</v>
      </c>
    </row>
    <row r="276" spans="1:28" ht="15" customHeight="1" x14ac:dyDescent="0.25">
      <c r="A276" s="35" t="s">
        <v>148</v>
      </c>
      <c r="B276" s="42">
        <v>4</v>
      </c>
      <c r="C276" s="42">
        <v>18</v>
      </c>
      <c r="D276" s="42">
        <v>19</v>
      </c>
      <c r="E276" s="42">
        <v>13</v>
      </c>
      <c r="F276" s="42">
        <v>39</v>
      </c>
      <c r="G276" s="42">
        <v>7</v>
      </c>
      <c r="H276" s="42">
        <v>15</v>
      </c>
      <c r="I276" s="42">
        <v>13</v>
      </c>
      <c r="J276" s="42">
        <v>25</v>
      </c>
      <c r="K276" s="42">
        <v>348</v>
      </c>
      <c r="L276" s="42">
        <v>1123</v>
      </c>
      <c r="M276" s="42">
        <v>1384</v>
      </c>
      <c r="N276" s="42">
        <v>811</v>
      </c>
      <c r="O276" s="42">
        <v>2362</v>
      </c>
      <c r="P276" s="42">
        <v>505</v>
      </c>
      <c r="Q276" s="42">
        <v>927</v>
      </c>
      <c r="R276" s="42">
        <v>740</v>
      </c>
      <c r="S276" s="42">
        <v>1444</v>
      </c>
      <c r="T276" s="44">
        <v>11</v>
      </c>
      <c r="U276" s="44">
        <v>16.2</v>
      </c>
      <c r="V276" s="44">
        <v>13.9</v>
      </c>
      <c r="W276" s="44">
        <v>16.2</v>
      </c>
      <c r="X276" s="44">
        <v>16.5</v>
      </c>
      <c r="Y276" s="44">
        <v>13.8</v>
      </c>
      <c r="Z276" s="44">
        <v>16.7</v>
      </c>
      <c r="AA276" s="44">
        <v>18</v>
      </c>
      <c r="AB276" s="44">
        <v>17.2</v>
      </c>
    </row>
    <row r="277" spans="1:28" ht="15" customHeight="1" x14ac:dyDescent="0.25">
      <c r="A277" s="41" t="s">
        <v>149</v>
      </c>
      <c r="B277" s="42">
        <v>4</v>
      </c>
      <c r="C277" s="42">
        <v>13</v>
      </c>
      <c r="D277" s="42">
        <v>15</v>
      </c>
      <c r="E277" s="42">
        <v>5</v>
      </c>
      <c r="F277" s="42">
        <v>13</v>
      </c>
      <c r="G277" s="42">
        <v>5</v>
      </c>
      <c r="H277" s="42">
        <v>17</v>
      </c>
      <c r="I277" s="42">
        <v>4</v>
      </c>
      <c r="J277" s="42">
        <v>10</v>
      </c>
      <c r="K277" s="42">
        <v>242</v>
      </c>
      <c r="L277" s="42">
        <v>976</v>
      </c>
      <c r="M277" s="42">
        <v>978</v>
      </c>
      <c r="N277" s="42">
        <v>334</v>
      </c>
      <c r="O277" s="42">
        <v>809</v>
      </c>
      <c r="P277" s="42">
        <v>244</v>
      </c>
      <c r="Q277" s="42">
        <v>774</v>
      </c>
      <c r="R277" s="42">
        <v>309</v>
      </c>
      <c r="S277" s="42">
        <v>568</v>
      </c>
      <c r="T277" s="44">
        <v>18.100000000000001</v>
      </c>
      <c r="U277" s="44">
        <v>12.8</v>
      </c>
      <c r="V277" s="44">
        <v>15.5</v>
      </c>
      <c r="W277" s="44">
        <v>16.399999999999999</v>
      </c>
      <c r="X277" s="44">
        <v>15.5</v>
      </c>
      <c r="Y277" s="44">
        <v>19.100000000000001</v>
      </c>
      <c r="Z277" s="44">
        <v>21.5</v>
      </c>
      <c r="AA277" s="44">
        <v>13.9</v>
      </c>
      <c r="AB277" s="44">
        <v>17.3</v>
      </c>
    </row>
    <row r="278" spans="1:28" ht="15" customHeight="1" x14ac:dyDescent="0.25">
      <c r="A278" s="41" t="s">
        <v>150</v>
      </c>
      <c r="B278" s="42">
        <v>3</v>
      </c>
      <c r="C278" s="42">
        <v>21</v>
      </c>
      <c r="D278" s="42">
        <v>11</v>
      </c>
      <c r="E278" s="42" t="s">
        <v>28</v>
      </c>
      <c r="F278" s="42">
        <v>22</v>
      </c>
      <c r="G278" s="42" t="s">
        <v>28</v>
      </c>
      <c r="H278" s="42">
        <v>13</v>
      </c>
      <c r="I278" s="42">
        <v>4</v>
      </c>
      <c r="J278" s="42">
        <v>7</v>
      </c>
      <c r="K278" s="42">
        <v>346</v>
      </c>
      <c r="L278" s="42">
        <v>1068</v>
      </c>
      <c r="M278" s="42">
        <v>711</v>
      </c>
      <c r="N278" s="42" t="s">
        <v>28</v>
      </c>
      <c r="O278" s="42">
        <v>1078</v>
      </c>
      <c r="P278" s="42" t="s">
        <v>28</v>
      </c>
      <c r="Q278" s="42">
        <v>766</v>
      </c>
      <c r="R278" s="42">
        <v>285</v>
      </c>
      <c r="S278" s="42">
        <v>388</v>
      </c>
      <c r="T278" s="44">
        <v>9.1999999999999993</v>
      </c>
      <c r="U278" s="44">
        <v>20</v>
      </c>
      <c r="V278" s="44">
        <v>15.9</v>
      </c>
      <c r="W278" s="44" t="s">
        <v>28</v>
      </c>
      <c r="X278" s="44">
        <v>20.2</v>
      </c>
      <c r="Y278" s="44" t="s">
        <v>28</v>
      </c>
      <c r="Z278" s="44">
        <v>17.3</v>
      </c>
      <c r="AA278" s="44">
        <v>12.7</v>
      </c>
      <c r="AB278" s="44">
        <v>18.5</v>
      </c>
    </row>
    <row r="279" spans="1:28" ht="15" customHeight="1" x14ac:dyDescent="0.25">
      <c r="A279" s="41" t="s">
        <v>151</v>
      </c>
      <c r="B279" s="42" t="s">
        <v>28</v>
      </c>
      <c r="C279" s="42">
        <v>26</v>
      </c>
      <c r="D279" s="42">
        <v>17</v>
      </c>
      <c r="E279" s="42">
        <v>6</v>
      </c>
      <c r="F279" s="42">
        <v>29</v>
      </c>
      <c r="G279" s="42" t="s">
        <v>28</v>
      </c>
      <c r="H279" s="42">
        <v>12</v>
      </c>
      <c r="I279" s="42">
        <v>3</v>
      </c>
      <c r="J279" s="42">
        <v>7</v>
      </c>
      <c r="K279" s="42" t="s">
        <v>28</v>
      </c>
      <c r="L279" s="42">
        <v>1185</v>
      </c>
      <c r="M279" s="42">
        <v>1051</v>
      </c>
      <c r="N279" s="42">
        <v>319</v>
      </c>
      <c r="O279" s="42">
        <v>1487</v>
      </c>
      <c r="P279" s="42" t="s">
        <v>28</v>
      </c>
      <c r="Q279" s="42">
        <v>486</v>
      </c>
      <c r="R279" s="42">
        <v>202</v>
      </c>
      <c r="S279" s="42">
        <v>395</v>
      </c>
      <c r="T279" s="44" t="s">
        <v>28</v>
      </c>
      <c r="U279" s="44">
        <v>21.7</v>
      </c>
      <c r="V279" s="44">
        <v>16.600000000000001</v>
      </c>
      <c r="W279" s="44">
        <v>20.100000000000001</v>
      </c>
      <c r="X279" s="44">
        <v>19.399999999999999</v>
      </c>
      <c r="Y279" s="44" t="s">
        <v>28</v>
      </c>
      <c r="Z279" s="44">
        <v>25.2</v>
      </c>
      <c r="AA279" s="44">
        <v>16</v>
      </c>
      <c r="AB279" s="44">
        <v>18.899999999999999</v>
      </c>
    </row>
    <row r="280" spans="1:28" ht="24" customHeight="1" x14ac:dyDescent="0.25">
      <c r="A280" s="40" t="s">
        <v>310</v>
      </c>
      <c r="B280" s="32" t="s">
        <v>16</v>
      </c>
      <c r="C280" s="32" t="s">
        <v>16</v>
      </c>
      <c r="D280" s="32" t="s">
        <v>16</v>
      </c>
      <c r="E280" s="32" t="s">
        <v>16</v>
      </c>
      <c r="F280" s="32" t="s">
        <v>16</v>
      </c>
      <c r="G280" s="32" t="s">
        <v>16</v>
      </c>
      <c r="H280" s="32" t="s">
        <v>16</v>
      </c>
      <c r="I280" s="32" t="s">
        <v>16</v>
      </c>
      <c r="J280" s="32" t="s">
        <v>16</v>
      </c>
      <c r="K280" s="32" t="s">
        <v>16</v>
      </c>
      <c r="L280" s="32" t="s">
        <v>16</v>
      </c>
      <c r="M280" s="32" t="s">
        <v>16</v>
      </c>
      <c r="N280" s="32" t="s">
        <v>16</v>
      </c>
      <c r="O280" s="32" t="s">
        <v>16</v>
      </c>
      <c r="P280" s="32" t="s">
        <v>16</v>
      </c>
      <c r="Q280" s="32" t="s">
        <v>16</v>
      </c>
      <c r="R280" s="32" t="s">
        <v>16</v>
      </c>
      <c r="S280" s="32" t="s">
        <v>16</v>
      </c>
      <c r="T280" s="34" t="s">
        <v>16</v>
      </c>
      <c r="U280" s="34" t="s">
        <v>16</v>
      </c>
      <c r="V280" s="34" t="s">
        <v>16</v>
      </c>
      <c r="W280" s="34" t="s">
        <v>16</v>
      </c>
      <c r="X280" s="34" t="s">
        <v>16</v>
      </c>
      <c r="Y280" s="34" t="s">
        <v>16</v>
      </c>
      <c r="Z280" s="34" t="s">
        <v>16</v>
      </c>
      <c r="AA280" s="34" t="s">
        <v>16</v>
      </c>
      <c r="AB280" s="34" t="s">
        <v>16</v>
      </c>
    </row>
    <row r="281" spans="1:28" ht="15" customHeight="1" x14ac:dyDescent="0.25">
      <c r="A281" s="35" t="s">
        <v>307</v>
      </c>
      <c r="B281" s="42">
        <v>17</v>
      </c>
      <c r="C281" s="42">
        <v>42</v>
      </c>
      <c r="D281" s="42">
        <v>51</v>
      </c>
      <c r="E281" s="42">
        <v>25</v>
      </c>
      <c r="F281" s="42">
        <v>86</v>
      </c>
      <c r="G281" s="42">
        <v>26</v>
      </c>
      <c r="H281" s="42">
        <v>60</v>
      </c>
      <c r="I281" s="42">
        <v>16</v>
      </c>
      <c r="J281" s="42">
        <v>51</v>
      </c>
      <c r="K281" s="42">
        <v>1681</v>
      </c>
      <c r="L281" s="42">
        <v>3524</v>
      </c>
      <c r="M281" s="42">
        <v>4650</v>
      </c>
      <c r="N281" s="42">
        <v>2639</v>
      </c>
      <c r="O281" s="42">
        <v>6139</v>
      </c>
      <c r="P281" s="42">
        <v>1926</v>
      </c>
      <c r="Q281" s="42">
        <v>4395</v>
      </c>
      <c r="R281" s="42">
        <v>1623</v>
      </c>
      <c r="S281" s="42">
        <v>4922</v>
      </c>
      <c r="T281" s="44">
        <v>10</v>
      </c>
      <c r="U281" s="44">
        <v>11.8</v>
      </c>
      <c r="V281" s="44">
        <v>11</v>
      </c>
      <c r="W281" s="44">
        <v>9.6</v>
      </c>
      <c r="X281" s="44">
        <v>13.9</v>
      </c>
      <c r="Y281" s="44">
        <v>13.3</v>
      </c>
      <c r="Z281" s="44">
        <v>13.8</v>
      </c>
      <c r="AA281" s="44">
        <v>10.1</v>
      </c>
      <c r="AB281" s="44">
        <v>10.4</v>
      </c>
    </row>
    <row r="282" spans="1:28" ht="15" customHeight="1" x14ac:dyDescent="0.25">
      <c r="A282" s="41" t="s">
        <v>308</v>
      </c>
      <c r="B282" s="42">
        <v>19</v>
      </c>
      <c r="C282" s="42">
        <v>64</v>
      </c>
      <c r="D282" s="42">
        <v>75</v>
      </c>
      <c r="E282" s="42">
        <v>27</v>
      </c>
      <c r="F282" s="42">
        <v>129</v>
      </c>
      <c r="G282" s="42">
        <v>23</v>
      </c>
      <c r="H282" s="42">
        <v>65</v>
      </c>
      <c r="I282" s="42">
        <v>29</v>
      </c>
      <c r="J282" s="42">
        <v>67</v>
      </c>
      <c r="K282" s="42">
        <v>1582</v>
      </c>
      <c r="L282" s="42">
        <v>4611</v>
      </c>
      <c r="M282" s="42">
        <v>5055</v>
      </c>
      <c r="N282" s="42">
        <v>2145</v>
      </c>
      <c r="O282" s="42">
        <v>7735</v>
      </c>
      <c r="P282" s="42">
        <v>1785</v>
      </c>
      <c r="Q282" s="42">
        <v>3980</v>
      </c>
      <c r="R282" s="42">
        <v>2061</v>
      </c>
      <c r="S282" s="42">
        <v>5143</v>
      </c>
      <c r="T282" s="44">
        <v>11.8</v>
      </c>
      <c r="U282" s="44">
        <v>13.8</v>
      </c>
      <c r="V282" s="44">
        <v>14.8</v>
      </c>
      <c r="W282" s="44">
        <v>12.6</v>
      </c>
      <c r="X282" s="44">
        <v>16.600000000000001</v>
      </c>
      <c r="Y282" s="44">
        <v>13.2</v>
      </c>
      <c r="Z282" s="44">
        <v>16.3</v>
      </c>
      <c r="AA282" s="44">
        <v>13.9</v>
      </c>
      <c r="AB282" s="44">
        <v>13.1</v>
      </c>
    </row>
    <row r="283" spans="1:28" ht="15" customHeight="1" x14ac:dyDescent="0.25">
      <c r="A283" s="41" t="s">
        <v>146</v>
      </c>
      <c r="B283" s="42">
        <v>4</v>
      </c>
      <c r="C283" s="42">
        <v>14</v>
      </c>
      <c r="D283" s="42">
        <v>15</v>
      </c>
      <c r="E283" s="42">
        <v>8</v>
      </c>
      <c r="F283" s="42">
        <v>18</v>
      </c>
      <c r="G283" s="42">
        <v>6</v>
      </c>
      <c r="H283" s="42">
        <v>13</v>
      </c>
      <c r="I283" s="42">
        <v>5</v>
      </c>
      <c r="J283" s="42">
        <v>17</v>
      </c>
      <c r="K283" s="42">
        <v>338</v>
      </c>
      <c r="L283" s="42">
        <v>755</v>
      </c>
      <c r="M283" s="42">
        <v>931</v>
      </c>
      <c r="N283" s="42">
        <v>504</v>
      </c>
      <c r="O283" s="42">
        <v>1063</v>
      </c>
      <c r="P283" s="42">
        <v>414</v>
      </c>
      <c r="Q283" s="42">
        <v>749</v>
      </c>
      <c r="R283" s="42">
        <v>357</v>
      </c>
      <c r="S283" s="42">
        <v>1131</v>
      </c>
      <c r="T283" s="44">
        <v>11</v>
      </c>
      <c r="U283" s="44">
        <v>19.100000000000001</v>
      </c>
      <c r="V283" s="44">
        <v>16.399999999999999</v>
      </c>
      <c r="W283" s="44">
        <v>15.5</v>
      </c>
      <c r="X283" s="44">
        <v>16.899999999999999</v>
      </c>
      <c r="Y283" s="44">
        <v>14.6</v>
      </c>
      <c r="Z283" s="44">
        <v>17.8</v>
      </c>
      <c r="AA283" s="44">
        <v>15.1</v>
      </c>
      <c r="AB283" s="44">
        <v>14.8</v>
      </c>
    </row>
    <row r="284" spans="1:28" ht="15" customHeight="1" x14ac:dyDescent="0.25">
      <c r="A284" s="41" t="s">
        <v>147</v>
      </c>
      <c r="B284" s="42">
        <v>6</v>
      </c>
      <c r="C284" s="42">
        <v>19</v>
      </c>
      <c r="D284" s="42">
        <v>10</v>
      </c>
      <c r="E284" s="42">
        <v>7</v>
      </c>
      <c r="F284" s="42">
        <v>21</v>
      </c>
      <c r="G284" s="42" t="s">
        <v>28</v>
      </c>
      <c r="H284" s="42">
        <v>14</v>
      </c>
      <c r="I284" s="42" t="s">
        <v>28</v>
      </c>
      <c r="J284" s="42">
        <v>16</v>
      </c>
      <c r="K284" s="42">
        <v>340</v>
      </c>
      <c r="L284" s="42">
        <v>777</v>
      </c>
      <c r="M284" s="42">
        <v>663</v>
      </c>
      <c r="N284" s="42">
        <v>343</v>
      </c>
      <c r="O284" s="42">
        <v>1286</v>
      </c>
      <c r="P284" s="42" t="s">
        <v>28</v>
      </c>
      <c r="Q284" s="42">
        <v>622</v>
      </c>
      <c r="R284" s="42" t="s">
        <v>28</v>
      </c>
      <c r="S284" s="42">
        <v>899</v>
      </c>
      <c r="T284" s="44">
        <v>18.7</v>
      </c>
      <c r="U284" s="44">
        <v>24.5</v>
      </c>
      <c r="V284" s="44">
        <v>14.8</v>
      </c>
      <c r="W284" s="44">
        <v>19.399999999999999</v>
      </c>
      <c r="X284" s="44">
        <v>16.2</v>
      </c>
      <c r="Y284" s="44" t="s">
        <v>28</v>
      </c>
      <c r="Z284" s="44">
        <v>22.4</v>
      </c>
      <c r="AA284" s="44">
        <v>22.1</v>
      </c>
      <c r="AB284" s="44">
        <v>17.600000000000001</v>
      </c>
    </row>
    <row r="285" spans="1:28" ht="15" customHeight="1" x14ac:dyDescent="0.25">
      <c r="A285" s="35" t="s">
        <v>148</v>
      </c>
      <c r="B285" s="42" t="s">
        <v>28</v>
      </c>
      <c r="C285" s="42">
        <v>10</v>
      </c>
      <c r="D285" s="42">
        <v>11</v>
      </c>
      <c r="E285" s="42" t="s">
        <v>28</v>
      </c>
      <c r="F285" s="42">
        <v>14</v>
      </c>
      <c r="G285" s="42" t="s">
        <v>28</v>
      </c>
      <c r="H285" s="42">
        <v>12</v>
      </c>
      <c r="I285" s="42">
        <v>5</v>
      </c>
      <c r="J285" s="42">
        <v>8</v>
      </c>
      <c r="K285" s="42" t="s">
        <v>28</v>
      </c>
      <c r="L285" s="42">
        <v>566</v>
      </c>
      <c r="M285" s="42">
        <v>714</v>
      </c>
      <c r="N285" s="42" t="s">
        <v>28</v>
      </c>
      <c r="O285" s="42">
        <v>696</v>
      </c>
      <c r="P285" s="42" t="s">
        <v>28</v>
      </c>
      <c r="Q285" s="42">
        <v>455</v>
      </c>
      <c r="R285" s="42">
        <v>282</v>
      </c>
      <c r="S285" s="42">
        <v>497</v>
      </c>
      <c r="T285" s="44" t="s">
        <v>28</v>
      </c>
      <c r="U285" s="44">
        <v>16.899999999999999</v>
      </c>
      <c r="V285" s="44">
        <v>16</v>
      </c>
      <c r="W285" s="44" t="s">
        <v>28</v>
      </c>
      <c r="X285" s="44">
        <v>19.399999999999999</v>
      </c>
      <c r="Y285" s="44" t="s">
        <v>28</v>
      </c>
      <c r="Z285" s="44">
        <v>25.6</v>
      </c>
      <c r="AA285" s="44">
        <v>18.3</v>
      </c>
      <c r="AB285" s="44">
        <v>15.8</v>
      </c>
    </row>
    <row r="286" spans="1:28" ht="15" customHeight="1" x14ac:dyDescent="0.25">
      <c r="A286" s="35" t="s">
        <v>311</v>
      </c>
      <c r="B286" s="42" t="s">
        <v>28</v>
      </c>
      <c r="C286" s="42">
        <v>22</v>
      </c>
      <c r="D286" s="42">
        <v>12</v>
      </c>
      <c r="E286" s="42" t="s">
        <v>28</v>
      </c>
      <c r="F286" s="42">
        <v>20</v>
      </c>
      <c r="G286" s="42" t="s">
        <v>28</v>
      </c>
      <c r="H286" s="42" t="s">
        <v>28</v>
      </c>
      <c r="I286" s="42" t="s">
        <v>28</v>
      </c>
      <c r="J286" s="42">
        <v>17</v>
      </c>
      <c r="K286" s="42" t="s">
        <v>28</v>
      </c>
      <c r="L286" s="42">
        <v>867</v>
      </c>
      <c r="M286" s="42">
        <v>530</v>
      </c>
      <c r="N286" s="42" t="s">
        <v>28</v>
      </c>
      <c r="O286" s="42">
        <v>688</v>
      </c>
      <c r="P286" s="42" t="s">
        <v>28</v>
      </c>
      <c r="Q286" s="42" t="s">
        <v>28</v>
      </c>
      <c r="R286" s="42" t="s">
        <v>28</v>
      </c>
      <c r="S286" s="42">
        <v>589</v>
      </c>
      <c r="T286" s="44" t="s">
        <v>28</v>
      </c>
      <c r="U286" s="44">
        <v>24.9</v>
      </c>
      <c r="V286" s="44">
        <v>22.5</v>
      </c>
      <c r="W286" s="44" t="s">
        <v>28</v>
      </c>
      <c r="X286" s="44">
        <v>29.5</v>
      </c>
      <c r="Y286" s="44" t="s">
        <v>28</v>
      </c>
      <c r="Z286" s="44">
        <v>22.3</v>
      </c>
      <c r="AA286" s="44" t="s">
        <v>28</v>
      </c>
      <c r="AB286" s="44">
        <v>28.9</v>
      </c>
    </row>
    <row r="287" spans="1:28" ht="24" customHeight="1" x14ac:dyDescent="0.25">
      <c r="A287" s="40" t="s">
        <v>312</v>
      </c>
      <c r="B287" s="32" t="s">
        <v>16</v>
      </c>
      <c r="C287" s="32" t="s">
        <v>16</v>
      </c>
      <c r="D287" s="32" t="s">
        <v>16</v>
      </c>
      <c r="E287" s="32" t="s">
        <v>16</v>
      </c>
      <c r="F287" s="32" t="s">
        <v>16</v>
      </c>
      <c r="G287" s="32" t="s">
        <v>16</v>
      </c>
      <c r="H287" s="32" t="s">
        <v>16</v>
      </c>
      <c r="I287" s="32" t="s">
        <v>16</v>
      </c>
      <c r="J287" s="32" t="s">
        <v>16</v>
      </c>
      <c r="K287" s="32" t="s">
        <v>16</v>
      </c>
      <c r="L287" s="32" t="s">
        <v>16</v>
      </c>
      <c r="M287" s="32" t="s">
        <v>16</v>
      </c>
      <c r="N287" s="32" t="s">
        <v>16</v>
      </c>
      <c r="O287" s="32" t="s">
        <v>16</v>
      </c>
      <c r="P287" s="32" t="s">
        <v>16</v>
      </c>
      <c r="Q287" s="32" t="s">
        <v>16</v>
      </c>
      <c r="R287" s="32" t="s">
        <v>16</v>
      </c>
      <c r="S287" s="32" t="s">
        <v>16</v>
      </c>
      <c r="T287" s="34" t="s">
        <v>16</v>
      </c>
      <c r="U287" s="34" t="s">
        <v>16</v>
      </c>
      <c r="V287" s="34" t="s">
        <v>16</v>
      </c>
      <c r="W287" s="34" t="s">
        <v>16</v>
      </c>
      <c r="X287" s="34" t="s">
        <v>16</v>
      </c>
      <c r="Y287" s="34" t="s">
        <v>16</v>
      </c>
      <c r="Z287" s="34" t="s">
        <v>16</v>
      </c>
      <c r="AA287" s="34" t="s">
        <v>16</v>
      </c>
      <c r="AB287" s="34" t="s">
        <v>16</v>
      </c>
    </row>
    <row r="288" spans="1:28" ht="15" customHeight="1" x14ac:dyDescent="0.25">
      <c r="A288" s="35" t="s">
        <v>307</v>
      </c>
      <c r="B288" s="42">
        <v>13</v>
      </c>
      <c r="C288" s="42">
        <v>30</v>
      </c>
      <c r="D288" s="42">
        <v>44</v>
      </c>
      <c r="E288" s="42">
        <v>20</v>
      </c>
      <c r="F288" s="42">
        <v>79</v>
      </c>
      <c r="G288" s="42">
        <v>23</v>
      </c>
      <c r="H288" s="42">
        <v>56</v>
      </c>
      <c r="I288" s="42">
        <v>20</v>
      </c>
      <c r="J288" s="42">
        <v>48</v>
      </c>
      <c r="K288" s="42">
        <v>1203</v>
      </c>
      <c r="L288" s="42">
        <v>2434</v>
      </c>
      <c r="M288" s="42">
        <v>3432</v>
      </c>
      <c r="N288" s="42">
        <v>2075</v>
      </c>
      <c r="O288" s="42">
        <v>5329</v>
      </c>
      <c r="P288" s="42">
        <v>1767</v>
      </c>
      <c r="Q288" s="42">
        <v>3831</v>
      </c>
      <c r="R288" s="42">
        <v>1452</v>
      </c>
      <c r="S288" s="42">
        <v>4069</v>
      </c>
      <c r="T288" s="44">
        <v>10.8</v>
      </c>
      <c r="U288" s="44">
        <v>12.2</v>
      </c>
      <c r="V288" s="44">
        <v>12.9</v>
      </c>
      <c r="W288" s="44">
        <v>9.8000000000000007</v>
      </c>
      <c r="X288" s="44">
        <v>14.9</v>
      </c>
      <c r="Y288" s="44">
        <v>13.1</v>
      </c>
      <c r="Z288" s="44">
        <v>14.7</v>
      </c>
      <c r="AA288" s="44">
        <v>14</v>
      </c>
      <c r="AB288" s="44">
        <v>11.7</v>
      </c>
    </row>
    <row r="289" spans="1:28" ht="15" customHeight="1" x14ac:dyDescent="0.25">
      <c r="A289" s="41" t="s">
        <v>133</v>
      </c>
      <c r="B289" s="42">
        <v>10</v>
      </c>
      <c r="C289" s="42">
        <v>21</v>
      </c>
      <c r="D289" s="42">
        <v>32</v>
      </c>
      <c r="E289" s="42">
        <v>16</v>
      </c>
      <c r="F289" s="42">
        <v>49</v>
      </c>
      <c r="G289" s="42">
        <v>11</v>
      </c>
      <c r="H289" s="42">
        <v>28</v>
      </c>
      <c r="I289" s="42">
        <v>12</v>
      </c>
      <c r="J289" s="42">
        <v>36</v>
      </c>
      <c r="K289" s="42">
        <v>912</v>
      </c>
      <c r="L289" s="42">
        <v>1692</v>
      </c>
      <c r="M289" s="42">
        <v>2726</v>
      </c>
      <c r="N289" s="42">
        <v>1216</v>
      </c>
      <c r="O289" s="42">
        <v>3397</v>
      </c>
      <c r="P289" s="42">
        <v>816</v>
      </c>
      <c r="Q289" s="42">
        <v>1915</v>
      </c>
      <c r="R289" s="42">
        <v>1003</v>
      </c>
      <c r="S289" s="42">
        <v>3402</v>
      </c>
      <c r="T289" s="44">
        <v>11.2</v>
      </c>
      <c r="U289" s="44">
        <v>12.4</v>
      </c>
      <c r="V289" s="44">
        <v>11.6</v>
      </c>
      <c r="W289" s="44">
        <v>13</v>
      </c>
      <c r="X289" s="44">
        <v>14.4</v>
      </c>
      <c r="Y289" s="44">
        <v>13</v>
      </c>
      <c r="Z289" s="44">
        <v>14.8</v>
      </c>
      <c r="AA289" s="44">
        <v>12</v>
      </c>
      <c r="AB289" s="44">
        <v>10.6</v>
      </c>
    </row>
    <row r="290" spans="1:28" ht="15" customHeight="1" x14ac:dyDescent="0.25">
      <c r="A290" s="41" t="s">
        <v>313</v>
      </c>
      <c r="B290" s="42">
        <v>10</v>
      </c>
      <c r="C290" s="42">
        <v>33</v>
      </c>
      <c r="D290" s="42">
        <v>43</v>
      </c>
      <c r="E290" s="42">
        <v>18</v>
      </c>
      <c r="F290" s="42">
        <v>67</v>
      </c>
      <c r="G290" s="42">
        <v>17</v>
      </c>
      <c r="H290" s="42">
        <v>47</v>
      </c>
      <c r="I290" s="42">
        <v>13</v>
      </c>
      <c r="J290" s="42">
        <v>43</v>
      </c>
      <c r="K290" s="42">
        <v>1017</v>
      </c>
      <c r="L290" s="42">
        <v>2564</v>
      </c>
      <c r="M290" s="42">
        <v>3003</v>
      </c>
      <c r="N290" s="42">
        <v>1581</v>
      </c>
      <c r="O290" s="42">
        <v>4073</v>
      </c>
      <c r="P290" s="42">
        <v>1247</v>
      </c>
      <c r="Q290" s="42">
        <v>2743</v>
      </c>
      <c r="R290" s="42">
        <v>1137</v>
      </c>
      <c r="S290" s="42">
        <v>2948</v>
      </c>
      <c r="T290" s="44">
        <v>9.8000000000000007</v>
      </c>
      <c r="U290" s="44">
        <v>13</v>
      </c>
      <c r="V290" s="44">
        <v>14.3</v>
      </c>
      <c r="W290" s="44">
        <v>11.4</v>
      </c>
      <c r="X290" s="44">
        <v>16.5</v>
      </c>
      <c r="Y290" s="44">
        <v>14</v>
      </c>
      <c r="Z290" s="44">
        <v>17.3</v>
      </c>
      <c r="AA290" s="44">
        <v>11.2</v>
      </c>
      <c r="AB290" s="44">
        <v>14.7</v>
      </c>
    </row>
    <row r="291" spans="1:28" ht="15" customHeight="1" x14ac:dyDescent="0.25">
      <c r="A291" s="41" t="s">
        <v>146</v>
      </c>
      <c r="B291" s="42">
        <v>8</v>
      </c>
      <c r="C291" s="42">
        <v>27</v>
      </c>
      <c r="D291" s="42">
        <v>23</v>
      </c>
      <c r="E291" s="42">
        <v>8</v>
      </c>
      <c r="F291" s="42">
        <v>34</v>
      </c>
      <c r="G291" s="42">
        <v>9</v>
      </c>
      <c r="H291" s="42">
        <v>13</v>
      </c>
      <c r="I291" s="42">
        <v>6</v>
      </c>
      <c r="J291" s="42">
        <v>17</v>
      </c>
      <c r="K291" s="42">
        <v>599</v>
      </c>
      <c r="L291" s="42">
        <v>1347</v>
      </c>
      <c r="M291" s="42">
        <v>1644</v>
      </c>
      <c r="N291" s="42">
        <v>523</v>
      </c>
      <c r="O291" s="42">
        <v>1943</v>
      </c>
      <c r="P291" s="42">
        <v>456</v>
      </c>
      <c r="Q291" s="42">
        <v>804</v>
      </c>
      <c r="R291" s="42">
        <v>399</v>
      </c>
      <c r="S291" s="42">
        <v>1148</v>
      </c>
      <c r="T291" s="44">
        <v>13.7</v>
      </c>
      <c r="U291" s="44">
        <v>19.8</v>
      </c>
      <c r="V291" s="44">
        <v>13.9</v>
      </c>
      <c r="W291" s="44">
        <v>14.5</v>
      </c>
      <c r="X291" s="44">
        <v>17.600000000000001</v>
      </c>
      <c r="Y291" s="44">
        <v>18.8</v>
      </c>
      <c r="Z291" s="44">
        <v>16.100000000000001</v>
      </c>
      <c r="AA291" s="44">
        <v>15.4</v>
      </c>
      <c r="AB291" s="44">
        <v>14.9</v>
      </c>
    </row>
    <row r="292" spans="1:28" ht="15" customHeight="1" x14ac:dyDescent="0.25">
      <c r="A292" s="41" t="s">
        <v>314</v>
      </c>
      <c r="B292" s="42">
        <v>9</v>
      </c>
      <c r="C292" s="42">
        <v>59</v>
      </c>
      <c r="D292" s="42">
        <v>32</v>
      </c>
      <c r="E292" s="42">
        <v>13</v>
      </c>
      <c r="F292" s="42">
        <v>57</v>
      </c>
      <c r="G292" s="42">
        <v>11</v>
      </c>
      <c r="H292" s="42">
        <v>28</v>
      </c>
      <c r="I292" s="42">
        <v>16</v>
      </c>
      <c r="J292" s="42">
        <v>32</v>
      </c>
      <c r="K292" s="42">
        <v>461</v>
      </c>
      <c r="L292" s="42">
        <v>3062</v>
      </c>
      <c r="M292" s="42">
        <v>1739</v>
      </c>
      <c r="N292" s="42">
        <v>621</v>
      </c>
      <c r="O292" s="42">
        <v>2865</v>
      </c>
      <c r="P292" s="42">
        <v>538</v>
      </c>
      <c r="Q292" s="42">
        <v>1300</v>
      </c>
      <c r="R292" s="42">
        <v>821</v>
      </c>
      <c r="S292" s="42">
        <v>1613</v>
      </c>
      <c r="T292" s="44">
        <v>19.7</v>
      </c>
      <c r="U292" s="44">
        <v>19.2</v>
      </c>
      <c r="V292" s="44">
        <v>18.7</v>
      </c>
      <c r="W292" s="44">
        <v>21.3</v>
      </c>
      <c r="X292" s="44">
        <v>20</v>
      </c>
      <c r="Y292" s="44">
        <v>20.100000000000001</v>
      </c>
      <c r="Z292" s="44">
        <v>21.3</v>
      </c>
      <c r="AA292" s="44">
        <v>19.2</v>
      </c>
      <c r="AB292" s="44">
        <v>19.7</v>
      </c>
    </row>
    <row r="293" spans="1:28" ht="24" customHeight="1" x14ac:dyDescent="0.25">
      <c r="A293" s="40" t="s">
        <v>315</v>
      </c>
      <c r="B293" s="32" t="s">
        <v>16</v>
      </c>
      <c r="C293" s="32" t="s">
        <v>16</v>
      </c>
      <c r="D293" s="32" t="s">
        <v>16</v>
      </c>
      <c r="E293" s="32" t="s">
        <v>16</v>
      </c>
      <c r="F293" s="32" t="s">
        <v>16</v>
      </c>
      <c r="G293" s="32" t="s">
        <v>16</v>
      </c>
      <c r="H293" s="32" t="s">
        <v>16</v>
      </c>
      <c r="I293" s="32" t="s">
        <v>16</v>
      </c>
      <c r="J293" s="32" t="s">
        <v>16</v>
      </c>
      <c r="K293" s="32" t="s">
        <v>16</v>
      </c>
      <c r="L293" s="32" t="s">
        <v>16</v>
      </c>
      <c r="M293" s="32" t="s">
        <v>16</v>
      </c>
      <c r="N293" s="32" t="s">
        <v>16</v>
      </c>
      <c r="O293" s="32" t="s">
        <v>16</v>
      </c>
      <c r="P293" s="32" t="s">
        <v>16</v>
      </c>
      <c r="Q293" s="32" t="s">
        <v>16</v>
      </c>
      <c r="R293" s="32" t="s">
        <v>16</v>
      </c>
      <c r="S293" s="32" t="s">
        <v>16</v>
      </c>
      <c r="T293" s="34" t="s">
        <v>16</v>
      </c>
      <c r="U293" s="34" t="s">
        <v>16</v>
      </c>
      <c r="V293" s="34" t="s">
        <v>16</v>
      </c>
      <c r="W293" s="34" t="s">
        <v>16</v>
      </c>
      <c r="X293" s="34" t="s">
        <v>16</v>
      </c>
      <c r="Y293" s="34" t="s">
        <v>16</v>
      </c>
      <c r="Z293" s="34" t="s">
        <v>16</v>
      </c>
      <c r="AA293" s="34" t="s">
        <v>16</v>
      </c>
      <c r="AB293" s="34" t="s">
        <v>16</v>
      </c>
    </row>
    <row r="294" spans="1:28" ht="15" customHeight="1" x14ac:dyDescent="0.25">
      <c r="A294" s="35" t="s">
        <v>307</v>
      </c>
      <c r="B294" s="42">
        <v>13</v>
      </c>
      <c r="C294" s="42">
        <v>27</v>
      </c>
      <c r="D294" s="42">
        <v>31</v>
      </c>
      <c r="E294" s="42">
        <v>15</v>
      </c>
      <c r="F294" s="42">
        <v>47</v>
      </c>
      <c r="G294" s="42">
        <v>12</v>
      </c>
      <c r="H294" s="42">
        <v>30</v>
      </c>
      <c r="I294" s="42">
        <v>14</v>
      </c>
      <c r="J294" s="42">
        <v>35</v>
      </c>
      <c r="K294" s="42">
        <v>1403</v>
      </c>
      <c r="L294" s="42">
        <v>2408</v>
      </c>
      <c r="M294" s="42">
        <v>3032</v>
      </c>
      <c r="N294" s="42">
        <v>1699</v>
      </c>
      <c r="O294" s="42">
        <v>4343</v>
      </c>
      <c r="P294" s="42">
        <v>1052</v>
      </c>
      <c r="Q294" s="42">
        <v>2835</v>
      </c>
      <c r="R294" s="42">
        <v>1279</v>
      </c>
      <c r="S294" s="42">
        <v>4064</v>
      </c>
      <c r="T294" s="44">
        <v>9.3000000000000007</v>
      </c>
      <c r="U294" s="44">
        <v>11.1</v>
      </c>
      <c r="V294" s="44">
        <v>10.3</v>
      </c>
      <c r="W294" s="44">
        <v>8.6999999999999993</v>
      </c>
      <c r="X294" s="44">
        <v>10.8</v>
      </c>
      <c r="Y294" s="44">
        <v>11.7</v>
      </c>
      <c r="Z294" s="44">
        <v>10.5</v>
      </c>
      <c r="AA294" s="44">
        <v>11.1</v>
      </c>
      <c r="AB294" s="44">
        <v>8.5</v>
      </c>
    </row>
    <row r="295" spans="1:28" ht="15" customHeight="1" x14ac:dyDescent="0.25">
      <c r="A295" s="41" t="s">
        <v>133</v>
      </c>
      <c r="B295" s="42">
        <v>5</v>
      </c>
      <c r="C295" s="42">
        <v>12</v>
      </c>
      <c r="D295" s="42">
        <v>19</v>
      </c>
      <c r="E295" s="42">
        <v>6</v>
      </c>
      <c r="F295" s="42">
        <v>28</v>
      </c>
      <c r="G295" s="42">
        <v>8</v>
      </c>
      <c r="H295" s="42">
        <v>20</v>
      </c>
      <c r="I295" s="42">
        <v>4</v>
      </c>
      <c r="J295" s="42">
        <v>19</v>
      </c>
      <c r="K295" s="42">
        <v>435</v>
      </c>
      <c r="L295" s="42">
        <v>981</v>
      </c>
      <c r="M295" s="42">
        <v>1485</v>
      </c>
      <c r="N295" s="42">
        <v>806</v>
      </c>
      <c r="O295" s="42">
        <v>2162</v>
      </c>
      <c r="P295" s="42">
        <v>740</v>
      </c>
      <c r="Q295" s="42">
        <v>1374</v>
      </c>
      <c r="R295" s="42">
        <v>524</v>
      </c>
      <c r="S295" s="42">
        <v>1482</v>
      </c>
      <c r="T295" s="44">
        <v>11.6</v>
      </c>
      <c r="U295" s="44">
        <v>12.2</v>
      </c>
      <c r="V295" s="44">
        <v>13</v>
      </c>
      <c r="W295" s="44">
        <v>7.9</v>
      </c>
      <c r="X295" s="44">
        <v>12.8</v>
      </c>
      <c r="Y295" s="44">
        <v>10.3</v>
      </c>
      <c r="Z295" s="44">
        <v>14.4</v>
      </c>
      <c r="AA295" s="44">
        <v>8.3000000000000007</v>
      </c>
      <c r="AB295" s="44">
        <v>12.5</v>
      </c>
    </row>
    <row r="296" spans="1:28" ht="15" customHeight="1" x14ac:dyDescent="0.25">
      <c r="A296" s="41" t="s">
        <v>313</v>
      </c>
      <c r="B296" s="42">
        <v>10</v>
      </c>
      <c r="C296" s="42">
        <v>25</v>
      </c>
      <c r="D296" s="42">
        <v>39</v>
      </c>
      <c r="E296" s="42">
        <v>13</v>
      </c>
      <c r="F296" s="42">
        <v>58</v>
      </c>
      <c r="G296" s="42">
        <v>16</v>
      </c>
      <c r="H296" s="42">
        <v>38</v>
      </c>
      <c r="I296" s="42">
        <v>7</v>
      </c>
      <c r="J296" s="42">
        <v>30</v>
      </c>
      <c r="K296" s="42">
        <v>833</v>
      </c>
      <c r="L296" s="42">
        <v>2097</v>
      </c>
      <c r="M296" s="42">
        <v>2889</v>
      </c>
      <c r="N296" s="42">
        <v>1167</v>
      </c>
      <c r="O296" s="42">
        <v>3192</v>
      </c>
      <c r="P296" s="42">
        <v>964</v>
      </c>
      <c r="Q296" s="42">
        <v>2158</v>
      </c>
      <c r="R296" s="42">
        <v>688</v>
      </c>
      <c r="S296" s="42">
        <v>2477</v>
      </c>
      <c r="T296" s="44">
        <v>12.4</v>
      </c>
      <c r="U296" s="44">
        <v>12.2</v>
      </c>
      <c r="V296" s="44">
        <v>13.6</v>
      </c>
      <c r="W296" s="44">
        <v>10.8</v>
      </c>
      <c r="X296" s="44">
        <v>18</v>
      </c>
      <c r="Y296" s="44">
        <v>16.3</v>
      </c>
      <c r="Z296" s="44">
        <v>17.399999999999999</v>
      </c>
      <c r="AA296" s="44">
        <v>10.7</v>
      </c>
      <c r="AB296" s="44">
        <v>12.2</v>
      </c>
    </row>
    <row r="297" spans="1:28" ht="15" customHeight="1" x14ac:dyDescent="0.25">
      <c r="A297" s="41" t="s">
        <v>146</v>
      </c>
      <c r="B297" s="42">
        <v>5</v>
      </c>
      <c r="C297" s="42">
        <v>28</v>
      </c>
      <c r="D297" s="42">
        <v>12</v>
      </c>
      <c r="E297" s="42">
        <v>9</v>
      </c>
      <c r="F297" s="42">
        <v>28</v>
      </c>
      <c r="G297" s="42">
        <v>8</v>
      </c>
      <c r="H297" s="42">
        <v>27</v>
      </c>
      <c r="I297" s="42">
        <v>6</v>
      </c>
      <c r="J297" s="42">
        <v>27</v>
      </c>
      <c r="K297" s="42">
        <v>441</v>
      </c>
      <c r="L297" s="42">
        <v>1383</v>
      </c>
      <c r="M297" s="42">
        <v>839</v>
      </c>
      <c r="N297" s="42">
        <v>611</v>
      </c>
      <c r="O297" s="42">
        <v>1524</v>
      </c>
      <c r="P297" s="42">
        <v>637</v>
      </c>
      <c r="Q297" s="42">
        <v>1001</v>
      </c>
      <c r="R297" s="42">
        <v>292</v>
      </c>
      <c r="S297" s="42">
        <v>1419</v>
      </c>
      <c r="T297" s="44">
        <v>11.2</v>
      </c>
      <c r="U297" s="44">
        <v>20</v>
      </c>
      <c r="V297" s="44">
        <v>14.9</v>
      </c>
      <c r="W297" s="44">
        <v>14.3</v>
      </c>
      <c r="X297" s="44">
        <v>18.5</v>
      </c>
      <c r="Y297" s="44">
        <v>13.2</v>
      </c>
      <c r="Z297" s="44">
        <v>26.5</v>
      </c>
      <c r="AA297" s="44">
        <v>20.2</v>
      </c>
      <c r="AB297" s="44">
        <v>19.3</v>
      </c>
    </row>
    <row r="298" spans="1:28" ht="15" customHeight="1" x14ac:dyDescent="0.25">
      <c r="A298" s="41" t="s">
        <v>147</v>
      </c>
      <c r="B298" s="42">
        <v>6</v>
      </c>
      <c r="C298" s="42">
        <v>28</v>
      </c>
      <c r="D298" s="42">
        <v>21</v>
      </c>
      <c r="E298" s="42">
        <v>13</v>
      </c>
      <c r="F298" s="42">
        <v>31</v>
      </c>
      <c r="G298" s="42">
        <v>7</v>
      </c>
      <c r="H298" s="42">
        <v>19</v>
      </c>
      <c r="I298" s="42">
        <v>7</v>
      </c>
      <c r="J298" s="42">
        <v>15</v>
      </c>
      <c r="K298" s="42">
        <v>391</v>
      </c>
      <c r="L298" s="42">
        <v>1408</v>
      </c>
      <c r="M298" s="42">
        <v>1134</v>
      </c>
      <c r="N298" s="42">
        <v>760</v>
      </c>
      <c r="O298" s="42">
        <v>1558</v>
      </c>
      <c r="P298" s="42">
        <v>435</v>
      </c>
      <c r="Q298" s="42">
        <v>1058</v>
      </c>
      <c r="R298" s="42">
        <v>488</v>
      </c>
      <c r="S298" s="42">
        <v>936</v>
      </c>
      <c r="T298" s="44">
        <v>14.7</v>
      </c>
      <c r="U298" s="44">
        <v>19.7</v>
      </c>
      <c r="V298" s="44">
        <v>18.899999999999999</v>
      </c>
      <c r="W298" s="44">
        <v>17.600000000000001</v>
      </c>
      <c r="X298" s="44">
        <v>19.8</v>
      </c>
      <c r="Y298" s="44">
        <v>16</v>
      </c>
      <c r="Z298" s="44">
        <v>17.899999999999999</v>
      </c>
      <c r="AA298" s="44">
        <v>13.4</v>
      </c>
      <c r="AB298" s="44">
        <v>16.2</v>
      </c>
    </row>
    <row r="299" spans="1:28" ht="15" customHeight="1" x14ac:dyDescent="0.25">
      <c r="A299" s="41" t="s">
        <v>148</v>
      </c>
      <c r="B299" s="42">
        <v>4</v>
      </c>
      <c r="C299" s="42">
        <v>20</v>
      </c>
      <c r="D299" s="42">
        <v>17</v>
      </c>
      <c r="E299" s="42">
        <v>8</v>
      </c>
      <c r="F299" s="42">
        <v>37</v>
      </c>
      <c r="G299" s="42">
        <v>9</v>
      </c>
      <c r="H299" s="42">
        <v>13</v>
      </c>
      <c r="I299" s="42">
        <v>11</v>
      </c>
      <c r="J299" s="42">
        <v>20</v>
      </c>
      <c r="K299" s="42">
        <v>375</v>
      </c>
      <c r="L299" s="42">
        <v>1069</v>
      </c>
      <c r="M299" s="42">
        <v>1198</v>
      </c>
      <c r="N299" s="42">
        <v>470</v>
      </c>
      <c r="O299" s="42">
        <v>1973</v>
      </c>
      <c r="P299" s="42">
        <v>401</v>
      </c>
      <c r="Q299" s="42">
        <v>814</v>
      </c>
      <c r="R299" s="42">
        <v>620</v>
      </c>
      <c r="S299" s="42">
        <v>1139</v>
      </c>
      <c r="T299" s="44">
        <v>11.4</v>
      </c>
      <c r="U299" s="44">
        <v>18.3</v>
      </c>
      <c r="V299" s="44">
        <v>14.3</v>
      </c>
      <c r="W299" s="44">
        <v>16</v>
      </c>
      <c r="X299" s="44">
        <v>19</v>
      </c>
      <c r="Y299" s="44">
        <v>22.1</v>
      </c>
      <c r="Z299" s="44">
        <v>16.3</v>
      </c>
      <c r="AA299" s="44">
        <v>18.100000000000001</v>
      </c>
      <c r="AB299" s="44">
        <v>17.8</v>
      </c>
    </row>
    <row r="300" spans="1:28" ht="15" customHeight="1" x14ac:dyDescent="0.25">
      <c r="A300" s="41" t="s">
        <v>149</v>
      </c>
      <c r="B300" s="42" t="s">
        <v>28</v>
      </c>
      <c r="C300" s="42">
        <v>5</v>
      </c>
      <c r="D300" s="42">
        <v>11</v>
      </c>
      <c r="E300" s="42" t="s">
        <v>28</v>
      </c>
      <c r="F300" s="42">
        <v>24</v>
      </c>
      <c r="G300" s="42" t="s">
        <v>28</v>
      </c>
      <c r="H300" s="42">
        <v>12</v>
      </c>
      <c r="I300" s="42">
        <v>6</v>
      </c>
      <c r="J300" s="42" t="s">
        <v>28</v>
      </c>
      <c r="K300" s="42" t="s">
        <v>28</v>
      </c>
      <c r="L300" s="42">
        <v>270</v>
      </c>
      <c r="M300" s="42">
        <v>783</v>
      </c>
      <c r="N300" s="42" t="s">
        <v>28</v>
      </c>
      <c r="O300" s="42">
        <v>1213</v>
      </c>
      <c r="P300" s="42" t="s">
        <v>28</v>
      </c>
      <c r="Q300" s="42" t="s">
        <v>28</v>
      </c>
      <c r="R300" s="42">
        <v>409</v>
      </c>
      <c r="S300" s="42">
        <v>622</v>
      </c>
      <c r="T300" s="44" t="s">
        <v>28</v>
      </c>
      <c r="U300" s="44">
        <v>16.899999999999999</v>
      </c>
      <c r="V300" s="44">
        <v>14.7</v>
      </c>
      <c r="W300" s="44" t="s">
        <v>28</v>
      </c>
      <c r="X300" s="44">
        <v>19.8</v>
      </c>
      <c r="Y300" s="44" t="s">
        <v>28</v>
      </c>
      <c r="Z300" s="44">
        <v>17.399999999999999</v>
      </c>
      <c r="AA300" s="44">
        <v>14.9</v>
      </c>
      <c r="AB300" s="44">
        <v>17.3</v>
      </c>
    </row>
    <row r="301" spans="1:28" ht="15" customHeight="1" x14ac:dyDescent="0.25">
      <c r="A301" s="41" t="s">
        <v>316</v>
      </c>
      <c r="B301" s="42">
        <v>5</v>
      </c>
      <c r="C301" s="42">
        <v>26</v>
      </c>
      <c r="D301" s="42">
        <v>22</v>
      </c>
      <c r="E301" s="42">
        <v>8</v>
      </c>
      <c r="F301" s="42">
        <v>34</v>
      </c>
      <c r="G301" s="42">
        <v>8</v>
      </c>
      <c r="H301" s="42">
        <v>15</v>
      </c>
      <c r="I301" s="42" t="s">
        <v>28</v>
      </c>
      <c r="J301" s="42">
        <v>19</v>
      </c>
      <c r="K301" s="42">
        <v>202</v>
      </c>
      <c r="L301" s="42">
        <v>1483</v>
      </c>
      <c r="M301" s="42">
        <v>1184</v>
      </c>
      <c r="N301" s="42">
        <v>357</v>
      </c>
      <c r="O301" s="42">
        <v>1643</v>
      </c>
      <c r="P301" s="42" t="s">
        <v>28</v>
      </c>
      <c r="Q301" s="42">
        <v>672</v>
      </c>
      <c r="R301" s="42" t="s">
        <v>28</v>
      </c>
      <c r="S301" s="42">
        <v>1039</v>
      </c>
      <c r="T301" s="44">
        <v>23.6</v>
      </c>
      <c r="U301" s="44">
        <v>17.7</v>
      </c>
      <c r="V301" s="44">
        <v>18.7</v>
      </c>
      <c r="W301" s="44">
        <v>21.8</v>
      </c>
      <c r="X301" s="44">
        <v>20.7</v>
      </c>
      <c r="Y301" s="44">
        <v>18.7</v>
      </c>
      <c r="Z301" s="44">
        <v>22.7</v>
      </c>
      <c r="AA301" s="44">
        <v>22.3</v>
      </c>
      <c r="AB301" s="44">
        <v>18.2</v>
      </c>
    </row>
    <row r="302" spans="1:28" ht="45.95" customHeight="1" x14ac:dyDescent="0.25">
      <c r="A302" s="40" t="s">
        <v>317</v>
      </c>
      <c r="B302" s="32" t="s">
        <v>16</v>
      </c>
      <c r="C302" s="32" t="s">
        <v>16</v>
      </c>
      <c r="D302" s="32" t="s">
        <v>16</v>
      </c>
      <c r="E302" s="32" t="s">
        <v>16</v>
      </c>
      <c r="F302" s="32" t="s">
        <v>16</v>
      </c>
      <c r="G302" s="32" t="s">
        <v>16</v>
      </c>
      <c r="H302" s="32" t="s">
        <v>16</v>
      </c>
      <c r="I302" s="32" t="s">
        <v>16</v>
      </c>
      <c r="J302" s="32" t="s">
        <v>16</v>
      </c>
      <c r="K302" s="32" t="s">
        <v>16</v>
      </c>
      <c r="L302" s="32" t="s">
        <v>16</v>
      </c>
      <c r="M302" s="32" t="s">
        <v>16</v>
      </c>
      <c r="N302" s="32" t="s">
        <v>16</v>
      </c>
      <c r="O302" s="32" t="s">
        <v>16</v>
      </c>
      <c r="P302" s="32" t="s">
        <v>16</v>
      </c>
      <c r="Q302" s="32" t="s">
        <v>16</v>
      </c>
      <c r="R302" s="32" t="s">
        <v>16</v>
      </c>
      <c r="S302" s="32" t="s">
        <v>16</v>
      </c>
      <c r="T302" s="34" t="s">
        <v>16</v>
      </c>
      <c r="U302" s="34" t="s">
        <v>16</v>
      </c>
      <c r="V302" s="34" t="s">
        <v>16</v>
      </c>
      <c r="W302" s="34" t="s">
        <v>16</v>
      </c>
      <c r="X302" s="34" t="s">
        <v>16</v>
      </c>
      <c r="Y302" s="34" t="s">
        <v>16</v>
      </c>
      <c r="Z302" s="34" t="s">
        <v>16</v>
      </c>
      <c r="AA302" s="34" t="s">
        <v>16</v>
      </c>
      <c r="AB302" s="34" t="s">
        <v>16</v>
      </c>
    </row>
    <row r="303" spans="1:28" ht="15" customHeight="1" x14ac:dyDescent="0.25">
      <c r="A303" s="35" t="s">
        <v>318</v>
      </c>
      <c r="B303" s="42" t="s">
        <v>28</v>
      </c>
      <c r="C303" s="42">
        <v>31</v>
      </c>
      <c r="D303" s="42">
        <v>26</v>
      </c>
      <c r="E303" s="42">
        <v>11</v>
      </c>
      <c r="F303" s="42">
        <v>53</v>
      </c>
      <c r="G303" s="42">
        <v>6</v>
      </c>
      <c r="H303" s="42">
        <v>18</v>
      </c>
      <c r="I303" s="42">
        <v>16</v>
      </c>
      <c r="J303" s="42">
        <v>24</v>
      </c>
      <c r="K303" s="42" t="s">
        <v>28</v>
      </c>
      <c r="L303" s="42">
        <v>1710</v>
      </c>
      <c r="M303" s="42">
        <v>1632</v>
      </c>
      <c r="N303" s="42">
        <v>630</v>
      </c>
      <c r="O303" s="42">
        <v>2550</v>
      </c>
      <c r="P303" s="42">
        <v>329</v>
      </c>
      <c r="Q303" s="42">
        <v>884</v>
      </c>
      <c r="R303" s="42">
        <v>723</v>
      </c>
      <c r="S303" s="42">
        <v>1211</v>
      </c>
      <c r="T303" s="44" t="s">
        <v>28</v>
      </c>
      <c r="U303" s="44">
        <v>18</v>
      </c>
      <c r="V303" s="44">
        <v>16</v>
      </c>
      <c r="W303" s="44">
        <v>17.8</v>
      </c>
      <c r="X303" s="44">
        <v>20.9</v>
      </c>
      <c r="Y303" s="44">
        <v>17.7</v>
      </c>
      <c r="Z303" s="44">
        <v>20.8</v>
      </c>
      <c r="AA303" s="44">
        <v>21.5</v>
      </c>
      <c r="AB303" s="44">
        <v>20.100000000000001</v>
      </c>
    </row>
    <row r="304" spans="1:28" ht="15" customHeight="1" x14ac:dyDescent="0.25">
      <c r="A304" s="41" t="s">
        <v>319</v>
      </c>
      <c r="B304" s="42">
        <v>6</v>
      </c>
      <c r="C304" s="42">
        <v>31</v>
      </c>
      <c r="D304" s="42">
        <v>27</v>
      </c>
      <c r="E304" s="42">
        <v>12</v>
      </c>
      <c r="F304" s="42">
        <v>55</v>
      </c>
      <c r="G304" s="42">
        <v>15</v>
      </c>
      <c r="H304" s="42">
        <v>28</v>
      </c>
      <c r="I304" s="42">
        <v>20</v>
      </c>
      <c r="J304" s="42">
        <v>31</v>
      </c>
      <c r="K304" s="42">
        <v>335</v>
      </c>
      <c r="L304" s="42">
        <v>1416</v>
      </c>
      <c r="M304" s="42">
        <v>1299</v>
      </c>
      <c r="N304" s="42">
        <v>476</v>
      </c>
      <c r="O304" s="42">
        <v>2135</v>
      </c>
      <c r="P304" s="42">
        <v>609</v>
      </c>
      <c r="Q304" s="42">
        <v>1053</v>
      </c>
      <c r="R304" s="42">
        <v>871</v>
      </c>
      <c r="S304" s="42">
        <v>1593</v>
      </c>
      <c r="T304" s="44">
        <v>17.8</v>
      </c>
      <c r="U304" s="44">
        <v>21.6</v>
      </c>
      <c r="V304" s="44">
        <v>20.7</v>
      </c>
      <c r="W304" s="44">
        <v>25.3</v>
      </c>
      <c r="X304" s="44">
        <v>25.6</v>
      </c>
      <c r="Y304" s="44">
        <v>24.4</v>
      </c>
      <c r="Z304" s="44">
        <v>26.5</v>
      </c>
      <c r="AA304" s="44">
        <v>23.1</v>
      </c>
      <c r="AB304" s="44">
        <v>19.7</v>
      </c>
    </row>
    <row r="305" spans="1:28" ht="15" customHeight="1" x14ac:dyDescent="0.25">
      <c r="A305" s="41" t="s">
        <v>320</v>
      </c>
      <c r="B305" s="42">
        <v>11</v>
      </c>
      <c r="C305" s="42">
        <v>52</v>
      </c>
      <c r="D305" s="42">
        <v>34</v>
      </c>
      <c r="E305" s="42">
        <v>18</v>
      </c>
      <c r="F305" s="42">
        <v>65</v>
      </c>
      <c r="G305" s="42">
        <v>12</v>
      </c>
      <c r="H305" s="42">
        <v>26</v>
      </c>
      <c r="I305" s="42">
        <v>17</v>
      </c>
      <c r="J305" s="42">
        <v>26</v>
      </c>
      <c r="K305" s="42">
        <v>829</v>
      </c>
      <c r="L305" s="42">
        <v>2756</v>
      </c>
      <c r="M305" s="42">
        <v>2452</v>
      </c>
      <c r="N305" s="42">
        <v>1003</v>
      </c>
      <c r="O305" s="42">
        <v>3709</v>
      </c>
      <c r="P305" s="42">
        <v>613</v>
      </c>
      <c r="Q305" s="42">
        <v>1625</v>
      </c>
      <c r="R305" s="42">
        <v>916</v>
      </c>
      <c r="S305" s="42">
        <v>1320</v>
      </c>
      <c r="T305" s="44">
        <v>13.1</v>
      </c>
      <c r="U305" s="44">
        <v>18.7</v>
      </c>
      <c r="V305" s="44">
        <v>13.9</v>
      </c>
      <c r="W305" s="44">
        <v>17.7</v>
      </c>
      <c r="X305" s="44">
        <v>17.600000000000001</v>
      </c>
      <c r="Y305" s="44">
        <v>19.3</v>
      </c>
      <c r="Z305" s="44">
        <v>16</v>
      </c>
      <c r="AA305" s="44">
        <v>19</v>
      </c>
      <c r="AB305" s="44">
        <v>19.7</v>
      </c>
    </row>
    <row r="306" spans="1:28" ht="27.95" customHeight="1" x14ac:dyDescent="0.25">
      <c r="A306" s="41" t="s">
        <v>321</v>
      </c>
      <c r="B306" s="42">
        <v>12</v>
      </c>
      <c r="C306" s="42">
        <v>46</v>
      </c>
      <c r="D306" s="42">
        <v>43</v>
      </c>
      <c r="E306" s="42">
        <v>17</v>
      </c>
      <c r="F306" s="42">
        <v>72</v>
      </c>
      <c r="G306" s="42">
        <v>16</v>
      </c>
      <c r="H306" s="42">
        <v>29</v>
      </c>
      <c r="I306" s="42">
        <v>19</v>
      </c>
      <c r="J306" s="42">
        <v>38</v>
      </c>
      <c r="K306" s="42">
        <v>915</v>
      </c>
      <c r="L306" s="42">
        <v>2339</v>
      </c>
      <c r="M306" s="42">
        <v>2960</v>
      </c>
      <c r="N306" s="42">
        <v>993</v>
      </c>
      <c r="O306" s="42">
        <v>3867</v>
      </c>
      <c r="P306" s="42">
        <v>722</v>
      </c>
      <c r="Q306" s="42">
        <v>1503</v>
      </c>
      <c r="R306" s="42">
        <v>992</v>
      </c>
      <c r="S306" s="42">
        <v>1859</v>
      </c>
      <c r="T306" s="44">
        <v>13.4</v>
      </c>
      <c r="U306" s="44">
        <v>19.5</v>
      </c>
      <c r="V306" s="44">
        <v>14.5</v>
      </c>
      <c r="W306" s="44">
        <v>17.399999999999999</v>
      </c>
      <c r="X306" s="44">
        <v>18.7</v>
      </c>
      <c r="Y306" s="44">
        <v>21.7</v>
      </c>
      <c r="Z306" s="44">
        <v>19.399999999999999</v>
      </c>
      <c r="AA306" s="44">
        <v>18.899999999999999</v>
      </c>
      <c r="AB306" s="44">
        <v>20.399999999999999</v>
      </c>
    </row>
    <row r="307" spans="1:28" ht="15" customHeight="1" x14ac:dyDescent="0.25">
      <c r="A307" s="41" t="s">
        <v>322</v>
      </c>
      <c r="B307" s="42">
        <v>10</v>
      </c>
      <c r="C307" s="42">
        <v>30</v>
      </c>
      <c r="D307" s="42">
        <v>30</v>
      </c>
      <c r="E307" s="42">
        <v>13</v>
      </c>
      <c r="F307" s="42">
        <v>48</v>
      </c>
      <c r="G307" s="42">
        <v>12</v>
      </c>
      <c r="H307" s="42">
        <v>23</v>
      </c>
      <c r="I307" s="42">
        <v>15</v>
      </c>
      <c r="J307" s="42">
        <v>23</v>
      </c>
      <c r="K307" s="42">
        <v>776</v>
      </c>
      <c r="L307" s="42">
        <v>2329</v>
      </c>
      <c r="M307" s="42">
        <v>2282</v>
      </c>
      <c r="N307" s="42">
        <v>1130</v>
      </c>
      <c r="O307" s="42">
        <v>2551</v>
      </c>
      <c r="P307" s="42">
        <v>1072</v>
      </c>
      <c r="Q307" s="42">
        <v>1498</v>
      </c>
      <c r="R307" s="42">
        <v>840</v>
      </c>
      <c r="S307" s="42">
        <v>1574</v>
      </c>
      <c r="T307" s="44">
        <v>13.4</v>
      </c>
      <c r="U307" s="44">
        <v>12.9</v>
      </c>
      <c r="V307" s="44">
        <v>13</v>
      </c>
      <c r="W307" s="44">
        <v>11.2</v>
      </c>
      <c r="X307" s="44">
        <v>18.7</v>
      </c>
      <c r="Y307" s="44">
        <v>11.6</v>
      </c>
      <c r="Z307" s="44">
        <v>15.2</v>
      </c>
      <c r="AA307" s="44">
        <v>17.5</v>
      </c>
      <c r="AB307" s="44">
        <v>14.4</v>
      </c>
    </row>
    <row r="308" spans="1:28" ht="33.950000000000003" customHeight="1" x14ac:dyDescent="0.25">
      <c r="A308" s="40" t="s">
        <v>323</v>
      </c>
      <c r="B308" s="32" t="s">
        <v>16</v>
      </c>
      <c r="C308" s="32" t="s">
        <v>16</v>
      </c>
      <c r="D308" s="32" t="s">
        <v>16</v>
      </c>
      <c r="E308" s="32" t="s">
        <v>16</v>
      </c>
      <c r="F308" s="32" t="s">
        <v>16</v>
      </c>
      <c r="G308" s="32" t="s">
        <v>16</v>
      </c>
      <c r="H308" s="32" t="s">
        <v>16</v>
      </c>
      <c r="I308" s="32" t="s">
        <v>16</v>
      </c>
      <c r="J308" s="32" t="s">
        <v>16</v>
      </c>
      <c r="K308" s="32" t="s">
        <v>16</v>
      </c>
      <c r="L308" s="32" t="s">
        <v>16</v>
      </c>
      <c r="M308" s="32" t="s">
        <v>16</v>
      </c>
      <c r="N308" s="32" t="s">
        <v>16</v>
      </c>
      <c r="O308" s="32" t="s">
        <v>16</v>
      </c>
      <c r="P308" s="32" t="s">
        <v>16</v>
      </c>
      <c r="Q308" s="32" t="s">
        <v>16</v>
      </c>
      <c r="R308" s="32" t="s">
        <v>16</v>
      </c>
      <c r="S308" s="32" t="s">
        <v>16</v>
      </c>
      <c r="T308" s="34" t="s">
        <v>16</v>
      </c>
      <c r="U308" s="34" t="s">
        <v>16</v>
      </c>
      <c r="V308" s="34" t="s">
        <v>16</v>
      </c>
      <c r="W308" s="34" t="s">
        <v>16</v>
      </c>
      <c r="X308" s="34" t="s">
        <v>16</v>
      </c>
      <c r="Y308" s="34" t="s">
        <v>16</v>
      </c>
      <c r="Z308" s="34" t="s">
        <v>16</v>
      </c>
      <c r="AA308" s="34" t="s">
        <v>16</v>
      </c>
      <c r="AB308" s="34" t="s">
        <v>16</v>
      </c>
    </row>
    <row r="309" spans="1:28" ht="15" customHeight="1" x14ac:dyDescent="0.25">
      <c r="A309" s="35" t="s">
        <v>324</v>
      </c>
      <c r="B309" s="42">
        <v>11</v>
      </c>
      <c r="C309" s="42">
        <v>43</v>
      </c>
      <c r="D309" s="42">
        <v>34</v>
      </c>
      <c r="E309" s="42">
        <v>15</v>
      </c>
      <c r="F309" s="42">
        <v>47</v>
      </c>
      <c r="G309" s="42">
        <v>9</v>
      </c>
      <c r="H309" s="42">
        <v>26</v>
      </c>
      <c r="I309" s="42">
        <v>15</v>
      </c>
      <c r="J309" s="42">
        <v>39</v>
      </c>
      <c r="K309" s="42">
        <v>491</v>
      </c>
      <c r="L309" s="42">
        <v>1887</v>
      </c>
      <c r="M309" s="42">
        <v>1743</v>
      </c>
      <c r="N309" s="42">
        <v>745</v>
      </c>
      <c r="O309" s="42">
        <v>2296</v>
      </c>
      <c r="P309" s="42">
        <v>456</v>
      </c>
      <c r="Q309" s="42">
        <v>1120</v>
      </c>
      <c r="R309" s="42">
        <v>662</v>
      </c>
      <c r="S309" s="42">
        <v>1704</v>
      </c>
      <c r="T309" s="44">
        <v>21.6</v>
      </c>
      <c r="U309" s="44">
        <v>22.8</v>
      </c>
      <c r="V309" s="44">
        <v>19.3</v>
      </c>
      <c r="W309" s="44">
        <v>20.3</v>
      </c>
      <c r="X309" s="44">
        <v>20.6</v>
      </c>
      <c r="Y309" s="44">
        <v>20.2</v>
      </c>
      <c r="Z309" s="44">
        <v>22.9</v>
      </c>
      <c r="AA309" s="44">
        <v>23.1</v>
      </c>
      <c r="AB309" s="44">
        <v>22.6</v>
      </c>
    </row>
    <row r="310" spans="1:28" ht="15" customHeight="1" x14ac:dyDescent="0.25">
      <c r="A310" s="41" t="s">
        <v>325</v>
      </c>
      <c r="B310" s="42">
        <v>9</v>
      </c>
      <c r="C310" s="42">
        <v>42</v>
      </c>
      <c r="D310" s="42">
        <v>43</v>
      </c>
      <c r="E310" s="42">
        <v>21</v>
      </c>
      <c r="F310" s="42">
        <v>70</v>
      </c>
      <c r="G310" s="42">
        <v>17</v>
      </c>
      <c r="H310" s="42">
        <v>41</v>
      </c>
      <c r="I310" s="42">
        <v>24</v>
      </c>
      <c r="J310" s="42">
        <v>32</v>
      </c>
      <c r="K310" s="42">
        <v>747</v>
      </c>
      <c r="L310" s="42">
        <v>2594</v>
      </c>
      <c r="M310" s="42">
        <v>2728</v>
      </c>
      <c r="N310" s="42">
        <v>1222</v>
      </c>
      <c r="O310" s="42">
        <v>3895</v>
      </c>
      <c r="P310" s="42">
        <v>879</v>
      </c>
      <c r="Q310" s="42">
        <v>2347</v>
      </c>
      <c r="R310" s="42">
        <v>1364</v>
      </c>
      <c r="S310" s="42">
        <v>1947</v>
      </c>
      <c r="T310" s="44">
        <v>11.4</v>
      </c>
      <c r="U310" s="44">
        <v>16.3</v>
      </c>
      <c r="V310" s="44">
        <v>15.9</v>
      </c>
      <c r="W310" s="44">
        <v>17.5</v>
      </c>
      <c r="X310" s="44">
        <v>17.899999999999999</v>
      </c>
      <c r="Y310" s="44">
        <v>19.600000000000001</v>
      </c>
      <c r="Z310" s="44">
        <v>17.399999999999999</v>
      </c>
      <c r="AA310" s="44">
        <v>17.7</v>
      </c>
      <c r="AB310" s="44">
        <v>16.5</v>
      </c>
    </row>
    <row r="311" spans="1:28" ht="15" customHeight="1" x14ac:dyDescent="0.25">
      <c r="A311" s="41" t="s">
        <v>326</v>
      </c>
      <c r="B311" s="42">
        <v>8</v>
      </c>
      <c r="C311" s="42">
        <v>24</v>
      </c>
      <c r="D311" s="42">
        <v>24</v>
      </c>
      <c r="E311" s="42">
        <v>16</v>
      </c>
      <c r="F311" s="42">
        <v>50</v>
      </c>
      <c r="G311" s="42">
        <v>13</v>
      </c>
      <c r="H311" s="42">
        <v>31</v>
      </c>
      <c r="I311" s="42">
        <v>14</v>
      </c>
      <c r="J311" s="42">
        <v>22</v>
      </c>
      <c r="K311" s="42">
        <v>834</v>
      </c>
      <c r="L311" s="42">
        <v>1877</v>
      </c>
      <c r="M311" s="42">
        <v>2236</v>
      </c>
      <c r="N311" s="42">
        <v>1102</v>
      </c>
      <c r="O311" s="42">
        <v>3187</v>
      </c>
      <c r="P311" s="42">
        <v>761</v>
      </c>
      <c r="Q311" s="42">
        <v>2051</v>
      </c>
      <c r="R311" s="42">
        <v>1010</v>
      </c>
      <c r="S311" s="42">
        <v>1283</v>
      </c>
      <c r="T311" s="44">
        <v>9.1</v>
      </c>
      <c r="U311" s="44">
        <v>12.9</v>
      </c>
      <c r="V311" s="44">
        <v>10.9</v>
      </c>
      <c r="W311" s="44">
        <v>14.7</v>
      </c>
      <c r="X311" s="44">
        <v>15.6</v>
      </c>
      <c r="Y311" s="44">
        <v>17.600000000000001</v>
      </c>
      <c r="Z311" s="44">
        <v>14.9</v>
      </c>
      <c r="AA311" s="44">
        <v>14.1</v>
      </c>
      <c r="AB311" s="44">
        <v>17.5</v>
      </c>
    </row>
    <row r="312" spans="1:28" s="49" customFormat="1" ht="33.950000000000003" customHeight="1" x14ac:dyDescent="0.25">
      <c r="A312" s="40" t="s">
        <v>327</v>
      </c>
      <c r="B312" s="45" t="s">
        <v>16</v>
      </c>
      <c r="C312" s="45" t="s">
        <v>16</v>
      </c>
      <c r="D312" s="45" t="s">
        <v>16</v>
      </c>
      <c r="E312" s="45" t="s">
        <v>16</v>
      </c>
      <c r="F312" s="45" t="s">
        <v>16</v>
      </c>
      <c r="G312" s="45" t="s">
        <v>16</v>
      </c>
      <c r="H312" s="45" t="s">
        <v>16</v>
      </c>
      <c r="I312" s="45" t="s">
        <v>16</v>
      </c>
      <c r="J312" s="45" t="s">
        <v>16</v>
      </c>
      <c r="K312" s="45" t="s">
        <v>16</v>
      </c>
      <c r="L312" s="45" t="s">
        <v>16</v>
      </c>
      <c r="M312" s="45" t="s">
        <v>16</v>
      </c>
      <c r="N312" s="45" t="s">
        <v>16</v>
      </c>
      <c r="O312" s="45" t="s">
        <v>16</v>
      </c>
      <c r="P312" s="45" t="s">
        <v>16</v>
      </c>
      <c r="Q312" s="45" t="s">
        <v>16</v>
      </c>
      <c r="R312" s="45" t="s">
        <v>16</v>
      </c>
      <c r="S312" s="45" t="s">
        <v>16</v>
      </c>
      <c r="T312" s="47" t="s">
        <v>16</v>
      </c>
      <c r="U312" s="47" t="s">
        <v>16</v>
      </c>
      <c r="V312" s="47" t="s">
        <v>16</v>
      </c>
      <c r="W312" s="47" t="s">
        <v>16</v>
      </c>
      <c r="X312" s="47" t="s">
        <v>16</v>
      </c>
      <c r="Y312" s="47" t="s">
        <v>16</v>
      </c>
      <c r="Z312" s="47" t="s">
        <v>16</v>
      </c>
      <c r="AA312" s="47" t="s">
        <v>16</v>
      </c>
      <c r="AB312" s="47" t="s">
        <v>16</v>
      </c>
    </row>
    <row r="313" spans="1:28" s="49" customFormat="1" ht="15" customHeight="1" x14ac:dyDescent="0.25">
      <c r="A313" s="41" t="s">
        <v>328</v>
      </c>
      <c r="B313" s="42">
        <v>23</v>
      </c>
      <c r="C313" s="42">
        <v>102</v>
      </c>
      <c r="D313" s="42">
        <v>89</v>
      </c>
      <c r="E313" s="42">
        <v>39</v>
      </c>
      <c r="F313" s="42">
        <v>97</v>
      </c>
      <c r="G313" s="42">
        <v>21</v>
      </c>
      <c r="H313" s="42">
        <v>55</v>
      </c>
      <c r="I313" s="42">
        <v>33</v>
      </c>
      <c r="J313" s="42">
        <v>79</v>
      </c>
      <c r="K313" s="42">
        <v>1412</v>
      </c>
      <c r="L313" s="42">
        <v>5498</v>
      </c>
      <c r="M313" s="42">
        <v>5550</v>
      </c>
      <c r="N313" s="42">
        <v>2366</v>
      </c>
      <c r="O313" s="42">
        <v>5286</v>
      </c>
      <c r="P313" s="42">
        <v>1059</v>
      </c>
      <c r="Q313" s="42">
        <v>2706</v>
      </c>
      <c r="R313" s="42">
        <v>2022</v>
      </c>
      <c r="S313" s="42">
        <v>4849</v>
      </c>
      <c r="T313" s="44">
        <v>16.399999999999999</v>
      </c>
      <c r="U313" s="44">
        <v>18.600000000000001</v>
      </c>
      <c r="V313" s="44">
        <v>16</v>
      </c>
      <c r="W313" s="44">
        <v>16.7</v>
      </c>
      <c r="X313" s="44">
        <v>18.399999999999999</v>
      </c>
      <c r="Y313" s="44">
        <v>19.8</v>
      </c>
      <c r="Z313" s="44">
        <v>20.399999999999999</v>
      </c>
      <c r="AA313" s="44">
        <v>16.3</v>
      </c>
      <c r="AB313" s="44">
        <v>16.399999999999999</v>
      </c>
    </row>
    <row r="314" spans="1:28" s="49" customFormat="1" ht="15" customHeight="1" x14ac:dyDescent="0.25">
      <c r="A314" s="41" t="s">
        <v>329</v>
      </c>
      <c r="B314" s="42">
        <v>44</v>
      </c>
      <c r="C314" s="42">
        <v>159</v>
      </c>
      <c r="D314" s="42">
        <v>159</v>
      </c>
      <c r="E314" s="42">
        <v>63</v>
      </c>
      <c r="F314" s="42">
        <v>258</v>
      </c>
      <c r="G314" s="42">
        <v>58</v>
      </c>
      <c r="H314" s="42">
        <v>155</v>
      </c>
      <c r="I314" s="42">
        <v>59</v>
      </c>
      <c r="J314" s="42">
        <v>153</v>
      </c>
      <c r="K314" s="42">
        <v>3324</v>
      </c>
      <c r="L314" s="42">
        <v>9658</v>
      </c>
      <c r="M314" s="42">
        <v>10660</v>
      </c>
      <c r="N314" s="42">
        <v>4513</v>
      </c>
      <c r="O314" s="42">
        <v>14891</v>
      </c>
      <c r="P314" s="42">
        <v>3362</v>
      </c>
      <c r="Q314" s="42">
        <v>8319</v>
      </c>
      <c r="R314" s="42">
        <v>3991</v>
      </c>
      <c r="S314" s="42">
        <v>10526</v>
      </c>
      <c r="T314" s="44">
        <v>13.3</v>
      </c>
      <c r="U314" s="44">
        <v>16.5</v>
      </c>
      <c r="V314" s="44">
        <v>15</v>
      </c>
      <c r="W314" s="44">
        <v>14</v>
      </c>
      <c r="X314" s="44">
        <v>17.3</v>
      </c>
      <c r="Y314" s="44">
        <v>17.100000000000001</v>
      </c>
      <c r="Z314" s="44">
        <v>18.600000000000001</v>
      </c>
      <c r="AA314" s="44">
        <v>14.9</v>
      </c>
      <c r="AB314" s="44">
        <v>14.5</v>
      </c>
    </row>
    <row r="315" spans="1:28" s="49" customFormat="1" ht="15" customHeight="1" x14ac:dyDescent="0.25">
      <c r="A315" s="41" t="s">
        <v>330</v>
      </c>
      <c r="B315" s="42">
        <v>28</v>
      </c>
      <c r="C315" s="42">
        <v>98</v>
      </c>
      <c r="D315" s="42">
        <v>94</v>
      </c>
      <c r="E315" s="42">
        <v>39</v>
      </c>
      <c r="F315" s="42">
        <v>160</v>
      </c>
      <c r="G315" s="42">
        <v>32</v>
      </c>
      <c r="H315" s="42">
        <v>87</v>
      </c>
      <c r="I315" s="42">
        <v>39</v>
      </c>
      <c r="J315" s="42">
        <v>93</v>
      </c>
      <c r="K315" s="42">
        <v>1734</v>
      </c>
      <c r="L315" s="42">
        <v>5199</v>
      </c>
      <c r="M315" s="42">
        <v>5646</v>
      </c>
      <c r="N315" s="42">
        <v>2350</v>
      </c>
      <c r="O315" s="42">
        <v>8070</v>
      </c>
      <c r="P315" s="42">
        <v>1880</v>
      </c>
      <c r="Q315" s="42">
        <v>4628</v>
      </c>
      <c r="R315" s="42">
        <v>2310</v>
      </c>
      <c r="S315" s="42">
        <v>5233</v>
      </c>
      <c r="T315" s="44">
        <v>16.100000000000001</v>
      </c>
      <c r="U315" s="44">
        <v>18.899999999999999</v>
      </c>
      <c r="V315" s="44">
        <v>16.7</v>
      </c>
      <c r="W315" s="44">
        <v>16.600000000000001</v>
      </c>
      <c r="X315" s="44">
        <v>19.8</v>
      </c>
      <c r="Y315" s="44">
        <v>16.899999999999999</v>
      </c>
      <c r="Z315" s="44">
        <v>18.899999999999999</v>
      </c>
      <c r="AA315" s="44">
        <v>16.899999999999999</v>
      </c>
      <c r="AB315" s="44">
        <v>17.7</v>
      </c>
    </row>
    <row r="316" spans="1:28" s="49" customFormat="1" ht="45.95" customHeight="1" x14ac:dyDescent="0.25">
      <c r="A316" s="40" t="s">
        <v>331</v>
      </c>
      <c r="B316" s="45" t="s">
        <v>16</v>
      </c>
      <c r="C316" s="45" t="s">
        <v>16</v>
      </c>
      <c r="D316" s="45" t="s">
        <v>16</v>
      </c>
      <c r="E316" s="45" t="s">
        <v>16</v>
      </c>
      <c r="F316" s="45" t="s">
        <v>16</v>
      </c>
      <c r="G316" s="45" t="s">
        <v>16</v>
      </c>
      <c r="H316" s="45" t="s">
        <v>16</v>
      </c>
      <c r="I316" s="45" t="s">
        <v>16</v>
      </c>
      <c r="J316" s="45" t="s">
        <v>16</v>
      </c>
      <c r="K316" s="45" t="s">
        <v>16</v>
      </c>
      <c r="L316" s="45" t="s">
        <v>16</v>
      </c>
      <c r="M316" s="45" t="s">
        <v>16</v>
      </c>
      <c r="N316" s="45" t="s">
        <v>16</v>
      </c>
      <c r="O316" s="45" t="s">
        <v>16</v>
      </c>
      <c r="P316" s="45" t="s">
        <v>16</v>
      </c>
      <c r="Q316" s="45" t="s">
        <v>16</v>
      </c>
      <c r="R316" s="45" t="s">
        <v>16</v>
      </c>
      <c r="S316" s="45" t="s">
        <v>16</v>
      </c>
      <c r="T316" s="47" t="s">
        <v>16</v>
      </c>
      <c r="U316" s="47" t="s">
        <v>16</v>
      </c>
      <c r="V316" s="47" t="s">
        <v>16</v>
      </c>
      <c r="W316" s="47" t="s">
        <v>16</v>
      </c>
      <c r="X316" s="47" t="s">
        <v>16</v>
      </c>
      <c r="Y316" s="47" t="s">
        <v>16</v>
      </c>
      <c r="Z316" s="47" t="s">
        <v>16</v>
      </c>
      <c r="AA316" s="47" t="s">
        <v>16</v>
      </c>
      <c r="AB316" s="47" t="s">
        <v>16</v>
      </c>
    </row>
    <row r="317" spans="1:28" s="49" customFormat="1" ht="15" customHeight="1" x14ac:dyDescent="0.25">
      <c r="A317" s="35" t="s">
        <v>332</v>
      </c>
      <c r="B317" s="42">
        <v>43</v>
      </c>
      <c r="C317" s="42">
        <v>127</v>
      </c>
      <c r="D317" s="42">
        <v>145</v>
      </c>
      <c r="E317" s="42">
        <v>68</v>
      </c>
      <c r="F317" s="42">
        <v>215</v>
      </c>
      <c r="G317" s="42">
        <v>55</v>
      </c>
      <c r="H317" s="42">
        <v>116</v>
      </c>
      <c r="I317" s="42">
        <v>51</v>
      </c>
      <c r="J317" s="42">
        <v>109</v>
      </c>
      <c r="K317" s="42">
        <v>3387</v>
      </c>
      <c r="L317" s="42">
        <v>8002</v>
      </c>
      <c r="M317" s="42">
        <v>10013</v>
      </c>
      <c r="N317" s="42">
        <v>5130</v>
      </c>
      <c r="O317" s="42">
        <v>12533</v>
      </c>
      <c r="P317" s="42">
        <v>3334</v>
      </c>
      <c r="Q317" s="42">
        <v>6396</v>
      </c>
      <c r="R317" s="42">
        <v>3728</v>
      </c>
      <c r="S317" s="42">
        <v>7206</v>
      </c>
      <c r="T317" s="44">
        <v>12.8</v>
      </c>
      <c r="U317" s="44">
        <v>15.9</v>
      </c>
      <c r="V317" s="44">
        <v>14.5</v>
      </c>
      <c r="W317" s="44">
        <v>13.2</v>
      </c>
      <c r="X317" s="44">
        <v>17.2</v>
      </c>
      <c r="Y317" s="44">
        <v>16.600000000000001</v>
      </c>
      <c r="Z317" s="44">
        <v>18.2</v>
      </c>
      <c r="AA317" s="44">
        <v>13.8</v>
      </c>
      <c r="AB317" s="44">
        <v>15.1</v>
      </c>
    </row>
    <row r="318" spans="1:28" s="49" customFormat="1" ht="15" customHeight="1" x14ac:dyDescent="0.25">
      <c r="A318" s="35" t="s">
        <v>333</v>
      </c>
      <c r="B318" s="42">
        <v>21</v>
      </c>
      <c r="C318" s="42">
        <v>88</v>
      </c>
      <c r="D318" s="42">
        <v>99</v>
      </c>
      <c r="E318" s="42">
        <v>42</v>
      </c>
      <c r="F318" s="42">
        <v>164</v>
      </c>
      <c r="G318" s="42">
        <v>41</v>
      </c>
      <c r="H318" s="42">
        <v>115</v>
      </c>
      <c r="I318" s="42">
        <v>42</v>
      </c>
      <c r="J318" s="42">
        <v>108</v>
      </c>
      <c r="K318" s="42">
        <v>1420</v>
      </c>
      <c r="L318" s="42">
        <v>4888</v>
      </c>
      <c r="M318" s="42">
        <v>6262</v>
      </c>
      <c r="N318" s="42">
        <v>2740</v>
      </c>
      <c r="O318" s="42">
        <v>9692</v>
      </c>
      <c r="P318" s="42">
        <v>2469</v>
      </c>
      <c r="Q318" s="42">
        <v>6377</v>
      </c>
      <c r="R318" s="42">
        <v>2626</v>
      </c>
      <c r="S318" s="42">
        <v>7925</v>
      </c>
      <c r="T318" s="44">
        <v>14.8</v>
      </c>
      <c r="U318" s="44">
        <v>18</v>
      </c>
      <c r="V318" s="44">
        <v>15.8</v>
      </c>
      <c r="W318" s="44">
        <v>15.1</v>
      </c>
      <c r="X318" s="44">
        <v>17</v>
      </c>
      <c r="Y318" s="44">
        <v>16.5</v>
      </c>
      <c r="Z318" s="44">
        <v>18</v>
      </c>
      <c r="AA318" s="44">
        <v>15.8</v>
      </c>
      <c r="AB318" s="44">
        <v>13.7</v>
      </c>
    </row>
    <row r="319" spans="1:28" s="49" customFormat="1" ht="15" customHeight="1" x14ac:dyDescent="0.25">
      <c r="A319" s="35" t="s">
        <v>334</v>
      </c>
      <c r="B319" s="42">
        <v>8</v>
      </c>
      <c r="C319" s="42">
        <v>35</v>
      </c>
      <c r="D319" s="42">
        <v>44</v>
      </c>
      <c r="E319" s="42">
        <v>21</v>
      </c>
      <c r="F319" s="42">
        <v>70</v>
      </c>
      <c r="G319" s="42">
        <v>14</v>
      </c>
      <c r="H319" s="42">
        <v>39</v>
      </c>
      <c r="I319" s="42">
        <v>20</v>
      </c>
      <c r="J319" s="42">
        <v>50</v>
      </c>
      <c r="K319" s="42">
        <v>495</v>
      </c>
      <c r="L319" s="42">
        <v>1849</v>
      </c>
      <c r="M319" s="42">
        <v>2627</v>
      </c>
      <c r="N319" s="42">
        <v>1144</v>
      </c>
      <c r="O319" s="42">
        <v>2966</v>
      </c>
      <c r="P319" s="42">
        <v>696</v>
      </c>
      <c r="Q319" s="42">
        <v>1763</v>
      </c>
      <c r="R319" s="42">
        <v>1264</v>
      </c>
      <c r="S319" s="42">
        <v>3032</v>
      </c>
      <c r="T319" s="44">
        <v>17.100000000000001</v>
      </c>
      <c r="U319" s="44">
        <v>19</v>
      </c>
      <c r="V319" s="44">
        <v>16.8</v>
      </c>
      <c r="W319" s="44">
        <v>18.3</v>
      </c>
      <c r="X319" s="44">
        <v>23.4</v>
      </c>
      <c r="Y319" s="44">
        <v>19.600000000000001</v>
      </c>
      <c r="Z319" s="44">
        <v>21.9</v>
      </c>
      <c r="AA319" s="44">
        <v>16.100000000000001</v>
      </c>
      <c r="AB319" s="44">
        <v>16.399999999999999</v>
      </c>
    </row>
    <row r="320" spans="1:28" s="49" customFormat="1" ht="15" customHeight="1" x14ac:dyDescent="0.25">
      <c r="A320" s="41" t="s">
        <v>335</v>
      </c>
      <c r="B320" s="42">
        <v>14</v>
      </c>
      <c r="C320" s="42">
        <v>66</v>
      </c>
      <c r="D320" s="42">
        <v>72</v>
      </c>
      <c r="E320" s="42">
        <v>31</v>
      </c>
      <c r="F320" s="42">
        <v>147</v>
      </c>
      <c r="G320" s="42">
        <v>32</v>
      </c>
      <c r="H320" s="42">
        <v>70</v>
      </c>
      <c r="I320" s="42">
        <v>34</v>
      </c>
      <c r="J320" s="42">
        <v>82</v>
      </c>
      <c r="K320" s="42">
        <v>1106</v>
      </c>
      <c r="L320" s="42">
        <v>3183</v>
      </c>
      <c r="M320" s="42">
        <v>4169</v>
      </c>
      <c r="N320" s="42">
        <v>2307</v>
      </c>
      <c r="O320" s="42">
        <v>7718</v>
      </c>
      <c r="P320" s="42">
        <v>2073</v>
      </c>
      <c r="Q320" s="42">
        <v>3972</v>
      </c>
      <c r="R320" s="42">
        <v>2235</v>
      </c>
      <c r="S320" s="42">
        <v>5299</v>
      </c>
      <c r="T320" s="44">
        <v>13.1</v>
      </c>
      <c r="U320" s="44">
        <v>20.8</v>
      </c>
      <c r="V320" s="44">
        <v>17.2</v>
      </c>
      <c r="W320" s="44">
        <v>13.2</v>
      </c>
      <c r="X320" s="44">
        <v>19.100000000000001</v>
      </c>
      <c r="Y320" s="44">
        <v>15.6</v>
      </c>
      <c r="Z320" s="44">
        <v>17.600000000000001</v>
      </c>
      <c r="AA320" s="44">
        <v>15.4</v>
      </c>
      <c r="AB320" s="44">
        <v>15.5</v>
      </c>
    </row>
    <row r="321" spans="1:28" s="49" customFormat="1" ht="15" customHeight="1" x14ac:dyDescent="0.25">
      <c r="A321" s="41" t="s">
        <v>336</v>
      </c>
      <c r="B321" s="42">
        <v>17</v>
      </c>
      <c r="C321" s="42">
        <v>47</v>
      </c>
      <c r="D321" s="42">
        <v>40</v>
      </c>
      <c r="E321" s="42">
        <v>17</v>
      </c>
      <c r="F321" s="42">
        <v>79</v>
      </c>
      <c r="G321" s="42">
        <v>13</v>
      </c>
      <c r="H321" s="42">
        <v>44</v>
      </c>
      <c r="I321" s="42">
        <v>21</v>
      </c>
      <c r="J321" s="42">
        <v>54</v>
      </c>
      <c r="K321" s="42">
        <v>1376</v>
      </c>
      <c r="L321" s="42">
        <v>2658</v>
      </c>
      <c r="M321" s="42">
        <v>2815</v>
      </c>
      <c r="N321" s="42">
        <v>1275</v>
      </c>
      <c r="O321" s="42">
        <v>4768</v>
      </c>
      <c r="P321" s="42">
        <v>904</v>
      </c>
      <c r="Q321" s="42">
        <v>2391</v>
      </c>
      <c r="R321" s="42">
        <v>1426</v>
      </c>
      <c r="S321" s="42">
        <v>4462</v>
      </c>
      <c r="T321" s="44">
        <v>12.2</v>
      </c>
      <c r="U321" s="44">
        <v>17.600000000000001</v>
      </c>
      <c r="V321" s="44">
        <v>14.4</v>
      </c>
      <c r="W321" s="44">
        <v>13.3</v>
      </c>
      <c r="X321" s="44">
        <v>16.600000000000001</v>
      </c>
      <c r="Y321" s="44">
        <v>14.3</v>
      </c>
      <c r="Z321" s="44">
        <v>18.399999999999999</v>
      </c>
      <c r="AA321" s="44">
        <v>14.4</v>
      </c>
      <c r="AB321" s="44">
        <v>12.1</v>
      </c>
    </row>
    <row r="322" spans="1:28" s="49" customFormat="1" ht="15" customHeight="1" x14ac:dyDescent="0.25">
      <c r="A322" s="41" t="s">
        <v>337</v>
      </c>
      <c r="B322" s="42">
        <v>22</v>
      </c>
      <c r="C322" s="42">
        <v>84</v>
      </c>
      <c r="D322" s="42">
        <v>80</v>
      </c>
      <c r="E322" s="42">
        <v>27</v>
      </c>
      <c r="F322" s="42">
        <v>123</v>
      </c>
      <c r="G322" s="42">
        <v>23</v>
      </c>
      <c r="H322" s="42">
        <v>61</v>
      </c>
      <c r="I322" s="42">
        <v>27</v>
      </c>
      <c r="J322" s="42">
        <v>93</v>
      </c>
      <c r="K322" s="42">
        <v>1454</v>
      </c>
      <c r="L322" s="42">
        <v>4384</v>
      </c>
      <c r="M322" s="42">
        <v>5033</v>
      </c>
      <c r="N322" s="42">
        <v>1617</v>
      </c>
      <c r="O322" s="42">
        <v>6195</v>
      </c>
      <c r="P322" s="42">
        <v>1217</v>
      </c>
      <c r="Q322" s="42">
        <v>3324</v>
      </c>
      <c r="R322" s="42">
        <v>1650</v>
      </c>
      <c r="S322" s="42">
        <v>5388</v>
      </c>
      <c r="T322" s="44">
        <v>15.3</v>
      </c>
      <c r="U322" s="44">
        <v>19.2</v>
      </c>
      <c r="V322" s="44">
        <v>15.9</v>
      </c>
      <c r="W322" s="44">
        <v>16.8</v>
      </c>
      <c r="X322" s="44">
        <v>19.899999999999999</v>
      </c>
      <c r="Y322" s="44">
        <v>18.7</v>
      </c>
      <c r="Z322" s="44">
        <v>18.3</v>
      </c>
      <c r="AA322" s="44">
        <v>16.600000000000001</v>
      </c>
      <c r="AB322" s="44">
        <v>17.3</v>
      </c>
    </row>
    <row r="323" spans="1:28" s="49" customFormat="1" ht="15" customHeight="1" x14ac:dyDescent="0.25">
      <c r="A323" s="35" t="s">
        <v>338</v>
      </c>
      <c r="B323" s="42">
        <v>33</v>
      </c>
      <c r="C323" s="42">
        <v>91</v>
      </c>
      <c r="D323" s="42">
        <v>92</v>
      </c>
      <c r="E323" s="42">
        <v>32</v>
      </c>
      <c r="F323" s="42">
        <v>140</v>
      </c>
      <c r="G323" s="42">
        <v>25</v>
      </c>
      <c r="H323" s="42">
        <v>71</v>
      </c>
      <c r="I323" s="42">
        <v>32</v>
      </c>
      <c r="J323" s="42">
        <v>92</v>
      </c>
      <c r="K323" s="42">
        <v>2302</v>
      </c>
      <c r="L323" s="42">
        <v>5430</v>
      </c>
      <c r="M323" s="42">
        <v>5927</v>
      </c>
      <c r="N323" s="42">
        <v>1990</v>
      </c>
      <c r="O323" s="42">
        <v>7130</v>
      </c>
      <c r="P323" s="42">
        <v>1429</v>
      </c>
      <c r="Q323" s="42">
        <v>3364</v>
      </c>
      <c r="R323" s="42">
        <v>2027</v>
      </c>
      <c r="S323" s="42">
        <v>6273</v>
      </c>
      <c r="T323" s="44">
        <v>14.3</v>
      </c>
      <c r="U323" s="44">
        <v>16.8</v>
      </c>
      <c r="V323" s="44">
        <v>15.6</v>
      </c>
      <c r="W323" s="44">
        <v>16</v>
      </c>
      <c r="X323" s="44">
        <v>19.7</v>
      </c>
      <c r="Y323" s="44">
        <v>17.8</v>
      </c>
      <c r="Z323" s="44">
        <v>21</v>
      </c>
      <c r="AA323" s="44">
        <v>15.7</v>
      </c>
      <c r="AB323" s="44">
        <v>14.7</v>
      </c>
    </row>
    <row r="324" spans="1:28" s="49" customFormat="1" ht="15" customHeight="1" x14ac:dyDescent="0.25">
      <c r="A324" s="35" t="s">
        <v>339</v>
      </c>
      <c r="B324" s="42">
        <v>12</v>
      </c>
      <c r="C324" s="42">
        <v>33</v>
      </c>
      <c r="D324" s="42">
        <v>40</v>
      </c>
      <c r="E324" s="42">
        <v>15</v>
      </c>
      <c r="F324" s="42">
        <v>71</v>
      </c>
      <c r="G324" s="42">
        <v>18</v>
      </c>
      <c r="H324" s="42">
        <v>21</v>
      </c>
      <c r="I324" s="42">
        <v>20</v>
      </c>
      <c r="J324" s="42">
        <v>44</v>
      </c>
      <c r="K324" s="42">
        <v>663</v>
      </c>
      <c r="L324" s="42">
        <v>1672</v>
      </c>
      <c r="M324" s="42">
        <v>2275</v>
      </c>
      <c r="N324" s="42">
        <v>902</v>
      </c>
      <c r="O324" s="42">
        <v>3452</v>
      </c>
      <c r="P324" s="42">
        <v>886</v>
      </c>
      <c r="Q324" s="42">
        <v>1086</v>
      </c>
      <c r="R324" s="42">
        <v>1200</v>
      </c>
      <c r="S324" s="42">
        <v>2398</v>
      </c>
      <c r="T324" s="44">
        <v>17.399999999999999</v>
      </c>
      <c r="U324" s="44">
        <v>19.5</v>
      </c>
      <c r="V324" s="44">
        <v>17.7</v>
      </c>
      <c r="W324" s="44">
        <v>16.3</v>
      </c>
      <c r="X324" s="44">
        <v>20.5</v>
      </c>
      <c r="Y324" s="44">
        <v>19.8</v>
      </c>
      <c r="Z324" s="44">
        <v>19.100000000000001</v>
      </c>
      <c r="AA324" s="44">
        <v>16.399999999999999</v>
      </c>
      <c r="AB324" s="44">
        <v>18.5</v>
      </c>
    </row>
    <row r="325" spans="1:28" s="49" customFormat="1" ht="15" customHeight="1" x14ac:dyDescent="0.25">
      <c r="A325" s="41" t="s">
        <v>340</v>
      </c>
      <c r="B325" s="42">
        <v>5</v>
      </c>
      <c r="C325" s="42">
        <v>13</v>
      </c>
      <c r="D325" s="42">
        <v>20</v>
      </c>
      <c r="E325" s="42">
        <v>7</v>
      </c>
      <c r="F325" s="42">
        <v>21</v>
      </c>
      <c r="G325" s="42" t="s">
        <v>28</v>
      </c>
      <c r="H325" s="42">
        <v>9</v>
      </c>
      <c r="I325" s="42">
        <v>9</v>
      </c>
      <c r="J325" s="42">
        <v>19</v>
      </c>
      <c r="K325" s="42">
        <v>303</v>
      </c>
      <c r="L325" s="42">
        <v>729</v>
      </c>
      <c r="M325" s="42">
        <v>1147</v>
      </c>
      <c r="N325" s="42">
        <v>375</v>
      </c>
      <c r="O325" s="42">
        <v>999</v>
      </c>
      <c r="P325" s="42" t="s">
        <v>28</v>
      </c>
      <c r="Q325" s="42">
        <v>666</v>
      </c>
      <c r="R325" s="42">
        <v>461</v>
      </c>
      <c r="S325" s="42">
        <v>1103</v>
      </c>
      <c r="T325" s="44">
        <v>15.4</v>
      </c>
      <c r="U325" s="44">
        <v>18.3</v>
      </c>
      <c r="V325" s="44">
        <v>17.600000000000001</v>
      </c>
      <c r="W325" s="44">
        <v>19.2</v>
      </c>
      <c r="X325" s="44">
        <v>21</v>
      </c>
      <c r="Y325" s="44" t="s">
        <v>28</v>
      </c>
      <c r="Z325" s="44">
        <v>13.7</v>
      </c>
      <c r="AA325" s="44">
        <v>19.100000000000001</v>
      </c>
      <c r="AB325" s="44">
        <v>17.3</v>
      </c>
    </row>
    <row r="326" spans="1:28" s="49" customFormat="1" ht="15" customHeight="1" x14ac:dyDescent="0.25">
      <c r="A326" s="41" t="s">
        <v>341</v>
      </c>
      <c r="B326" s="42" t="s">
        <v>28</v>
      </c>
      <c r="C326" s="42">
        <v>7</v>
      </c>
      <c r="D326" s="42">
        <v>9</v>
      </c>
      <c r="E326" s="42">
        <v>6</v>
      </c>
      <c r="F326" s="42">
        <v>28</v>
      </c>
      <c r="G326" s="42" t="s">
        <v>28</v>
      </c>
      <c r="H326" s="42" t="s">
        <v>28</v>
      </c>
      <c r="I326" s="42" t="s">
        <v>28</v>
      </c>
      <c r="J326" s="42">
        <v>18</v>
      </c>
      <c r="K326" s="42" t="s">
        <v>28</v>
      </c>
      <c r="L326" s="42">
        <v>448</v>
      </c>
      <c r="M326" s="42">
        <v>506</v>
      </c>
      <c r="N326" s="42">
        <v>406</v>
      </c>
      <c r="O326" s="42">
        <v>1315</v>
      </c>
      <c r="P326" s="42" t="s">
        <v>28</v>
      </c>
      <c r="Q326" s="42" t="s">
        <v>28</v>
      </c>
      <c r="R326" s="42" t="s">
        <v>28</v>
      </c>
      <c r="S326" s="42">
        <v>1332</v>
      </c>
      <c r="T326" s="44" t="s">
        <v>28</v>
      </c>
      <c r="U326" s="44">
        <v>16.399999999999999</v>
      </c>
      <c r="V326" s="44">
        <v>17.399999999999999</v>
      </c>
      <c r="W326" s="44">
        <v>15.7</v>
      </c>
      <c r="X326" s="44">
        <v>21</v>
      </c>
      <c r="Y326" s="44" t="s">
        <v>28</v>
      </c>
      <c r="Z326" s="44" t="s">
        <v>28</v>
      </c>
      <c r="AA326" s="44" t="s">
        <v>28</v>
      </c>
      <c r="AB326" s="44">
        <v>13.8</v>
      </c>
    </row>
    <row r="327" spans="1:28" s="49" customFormat="1" ht="27.95" customHeight="1" x14ac:dyDescent="0.25">
      <c r="A327" s="41" t="s">
        <v>342</v>
      </c>
      <c r="B327" s="42">
        <v>11</v>
      </c>
      <c r="C327" s="42">
        <v>36</v>
      </c>
      <c r="D327" s="42">
        <v>31</v>
      </c>
      <c r="E327" s="42">
        <v>14</v>
      </c>
      <c r="F327" s="42">
        <v>58</v>
      </c>
      <c r="G327" s="42">
        <v>9</v>
      </c>
      <c r="H327" s="42">
        <v>24</v>
      </c>
      <c r="I327" s="42">
        <v>14</v>
      </c>
      <c r="J327" s="42">
        <v>43</v>
      </c>
      <c r="K327" s="42">
        <v>526</v>
      </c>
      <c r="L327" s="42">
        <v>1633</v>
      </c>
      <c r="M327" s="42">
        <v>1680</v>
      </c>
      <c r="N327" s="42">
        <v>768</v>
      </c>
      <c r="O327" s="42">
        <v>2714</v>
      </c>
      <c r="P327" s="42">
        <v>495</v>
      </c>
      <c r="Q327" s="42">
        <v>1298</v>
      </c>
      <c r="R327" s="42">
        <v>807</v>
      </c>
      <c r="S327" s="42">
        <v>2146</v>
      </c>
      <c r="T327" s="44">
        <v>20.100000000000001</v>
      </c>
      <c r="U327" s="44">
        <v>22.1</v>
      </c>
      <c r="V327" s="44">
        <v>18.2</v>
      </c>
      <c r="W327" s="44">
        <v>18.2</v>
      </c>
      <c r="X327" s="44">
        <v>21.5</v>
      </c>
      <c r="Y327" s="44">
        <v>17.600000000000001</v>
      </c>
      <c r="Z327" s="44">
        <v>18.3</v>
      </c>
      <c r="AA327" s="44">
        <v>17.7</v>
      </c>
      <c r="AB327" s="44">
        <v>20</v>
      </c>
    </row>
    <row r="328" spans="1:28" s="49" customFormat="1" ht="45.95" customHeight="1" x14ac:dyDescent="0.25">
      <c r="A328" s="40" t="s">
        <v>343</v>
      </c>
      <c r="B328" s="45" t="s">
        <v>16</v>
      </c>
      <c r="C328" s="45" t="s">
        <v>16</v>
      </c>
      <c r="D328" s="45" t="s">
        <v>16</v>
      </c>
      <c r="E328" s="45" t="s">
        <v>16</v>
      </c>
      <c r="F328" s="45" t="s">
        <v>16</v>
      </c>
      <c r="G328" s="45" t="s">
        <v>16</v>
      </c>
      <c r="H328" s="45" t="s">
        <v>16</v>
      </c>
      <c r="I328" s="45" t="s">
        <v>16</v>
      </c>
      <c r="J328" s="45" t="s">
        <v>16</v>
      </c>
      <c r="K328" s="45" t="s">
        <v>16</v>
      </c>
      <c r="L328" s="45" t="s">
        <v>16</v>
      </c>
      <c r="M328" s="45" t="s">
        <v>16</v>
      </c>
      <c r="N328" s="45" t="s">
        <v>16</v>
      </c>
      <c r="O328" s="45" t="s">
        <v>16</v>
      </c>
      <c r="P328" s="45" t="s">
        <v>16</v>
      </c>
      <c r="Q328" s="45" t="s">
        <v>16</v>
      </c>
      <c r="R328" s="45" t="s">
        <v>16</v>
      </c>
      <c r="S328" s="45" t="s">
        <v>16</v>
      </c>
      <c r="T328" s="47" t="s">
        <v>16</v>
      </c>
      <c r="U328" s="47" t="s">
        <v>16</v>
      </c>
      <c r="V328" s="47" t="s">
        <v>16</v>
      </c>
      <c r="W328" s="47" t="s">
        <v>16</v>
      </c>
      <c r="X328" s="47" t="s">
        <v>16</v>
      </c>
      <c r="Y328" s="47" t="s">
        <v>16</v>
      </c>
      <c r="Z328" s="47" t="s">
        <v>16</v>
      </c>
      <c r="AA328" s="47" t="s">
        <v>16</v>
      </c>
      <c r="AB328" s="47" t="s">
        <v>16</v>
      </c>
    </row>
    <row r="329" spans="1:28" s="49" customFormat="1" ht="15" customHeight="1" x14ac:dyDescent="0.25">
      <c r="A329" s="35" t="s">
        <v>274</v>
      </c>
      <c r="B329" s="42">
        <v>37</v>
      </c>
      <c r="C329" s="42">
        <v>136</v>
      </c>
      <c r="D329" s="42">
        <v>132</v>
      </c>
      <c r="E329" s="42">
        <v>53</v>
      </c>
      <c r="F329" s="42">
        <v>191</v>
      </c>
      <c r="G329" s="42">
        <v>44</v>
      </c>
      <c r="H329" s="42">
        <v>119</v>
      </c>
      <c r="I329" s="42">
        <v>50</v>
      </c>
      <c r="J329" s="42">
        <v>131</v>
      </c>
      <c r="K329" s="42">
        <v>3310</v>
      </c>
      <c r="L329" s="42">
        <v>8975</v>
      </c>
      <c r="M329" s="42">
        <v>9790</v>
      </c>
      <c r="N329" s="42">
        <v>4320</v>
      </c>
      <c r="O329" s="42">
        <v>12357</v>
      </c>
      <c r="P329" s="42">
        <v>3581</v>
      </c>
      <c r="Q329" s="42">
        <v>7371</v>
      </c>
      <c r="R329" s="42">
        <v>3738</v>
      </c>
      <c r="S329" s="42">
        <v>9704</v>
      </c>
      <c r="T329" s="44">
        <v>11.2</v>
      </c>
      <c r="U329" s="44">
        <v>15.2</v>
      </c>
      <c r="V329" s="44">
        <v>13.5</v>
      </c>
      <c r="W329" s="44">
        <v>12.2</v>
      </c>
      <c r="X329" s="44">
        <v>15.5</v>
      </c>
      <c r="Y329" s="44">
        <v>12.4</v>
      </c>
      <c r="Z329" s="44">
        <v>16.100000000000001</v>
      </c>
      <c r="AA329" s="44">
        <v>13.4</v>
      </c>
      <c r="AB329" s="44">
        <v>13.5</v>
      </c>
    </row>
    <row r="330" spans="1:28" s="49" customFormat="1" ht="15" customHeight="1" x14ac:dyDescent="0.25">
      <c r="A330" s="35" t="s">
        <v>275</v>
      </c>
      <c r="B330" s="42">
        <v>37</v>
      </c>
      <c r="C330" s="42">
        <v>131</v>
      </c>
      <c r="D330" s="42">
        <v>127</v>
      </c>
      <c r="E330" s="42">
        <v>53</v>
      </c>
      <c r="F330" s="42">
        <v>210</v>
      </c>
      <c r="G330" s="42">
        <v>46</v>
      </c>
      <c r="H330" s="42">
        <v>119</v>
      </c>
      <c r="I330" s="42">
        <v>47</v>
      </c>
      <c r="J330" s="42">
        <v>132</v>
      </c>
      <c r="K330" s="42">
        <v>2931</v>
      </c>
      <c r="L330" s="42">
        <v>8520</v>
      </c>
      <c r="M330" s="42">
        <v>9321</v>
      </c>
      <c r="N330" s="42">
        <v>4121</v>
      </c>
      <c r="O330" s="42">
        <v>13458</v>
      </c>
      <c r="P330" s="42">
        <v>3675</v>
      </c>
      <c r="Q330" s="42">
        <v>7315</v>
      </c>
      <c r="R330" s="42">
        <v>3479</v>
      </c>
      <c r="S330" s="42">
        <v>9697</v>
      </c>
      <c r="T330" s="44">
        <v>12.5</v>
      </c>
      <c r="U330" s="44">
        <v>15.4</v>
      </c>
      <c r="V330" s="44">
        <v>13.7</v>
      </c>
      <c r="W330" s="44">
        <v>12.8</v>
      </c>
      <c r="X330" s="44">
        <v>15.6</v>
      </c>
      <c r="Y330" s="44">
        <v>12.5</v>
      </c>
      <c r="Z330" s="44">
        <v>16.3</v>
      </c>
      <c r="AA330" s="44">
        <v>13.5</v>
      </c>
      <c r="AB330" s="44">
        <v>13.7</v>
      </c>
    </row>
    <row r="331" spans="1:28" s="49" customFormat="1" ht="15" customHeight="1" x14ac:dyDescent="0.25">
      <c r="A331" s="35" t="s">
        <v>344</v>
      </c>
      <c r="B331" s="42">
        <v>49</v>
      </c>
      <c r="C331" s="42">
        <v>151</v>
      </c>
      <c r="D331" s="42">
        <v>159</v>
      </c>
      <c r="E331" s="42">
        <v>71</v>
      </c>
      <c r="F331" s="42">
        <v>260</v>
      </c>
      <c r="G331" s="42">
        <v>64</v>
      </c>
      <c r="H331" s="42">
        <v>158</v>
      </c>
      <c r="I331" s="42">
        <v>62</v>
      </c>
      <c r="J331" s="42">
        <v>163</v>
      </c>
      <c r="K331" s="42">
        <v>3987</v>
      </c>
      <c r="L331" s="42">
        <v>10272</v>
      </c>
      <c r="M331" s="42">
        <v>11570</v>
      </c>
      <c r="N331" s="42">
        <v>5693</v>
      </c>
      <c r="O331" s="42">
        <v>16417</v>
      </c>
      <c r="P331" s="42">
        <v>4478</v>
      </c>
      <c r="Q331" s="42">
        <v>9645</v>
      </c>
      <c r="R331" s="42">
        <v>4497</v>
      </c>
      <c r="S331" s="42">
        <v>12034</v>
      </c>
      <c r="T331" s="44">
        <v>12.4</v>
      </c>
      <c r="U331" s="44">
        <v>14.7</v>
      </c>
      <c r="V331" s="44">
        <v>13.7</v>
      </c>
      <c r="W331" s="44">
        <v>12.4</v>
      </c>
      <c r="X331" s="44">
        <v>15.8</v>
      </c>
      <c r="Y331" s="44">
        <v>14.3</v>
      </c>
      <c r="Z331" s="44">
        <v>16.399999999999999</v>
      </c>
      <c r="AA331" s="44">
        <v>13.9</v>
      </c>
      <c r="AB331" s="44">
        <v>13.5</v>
      </c>
    </row>
    <row r="332" spans="1:28" ht="33.950000000000003" customHeight="1" x14ac:dyDescent="0.25">
      <c r="A332" s="31" t="s">
        <v>345</v>
      </c>
      <c r="B332" s="32" t="s">
        <v>16</v>
      </c>
      <c r="C332" s="32" t="s">
        <v>16</v>
      </c>
      <c r="D332" s="32" t="s">
        <v>16</v>
      </c>
      <c r="E332" s="32" t="s">
        <v>16</v>
      </c>
      <c r="F332" s="32" t="s">
        <v>16</v>
      </c>
      <c r="G332" s="32" t="s">
        <v>16</v>
      </c>
      <c r="H332" s="32" t="s">
        <v>16</v>
      </c>
      <c r="I332" s="32" t="s">
        <v>16</v>
      </c>
      <c r="J332" s="32" t="s">
        <v>16</v>
      </c>
      <c r="K332" s="32" t="s">
        <v>16</v>
      </c>
      <c r="L332" s="32" t="s">
        <v>16</v>
      </c>
      <c r="M332" s="32" t="s">
        <v>16</v>
      </c>
      <c r="N332" s="32" t="s">
        <v>16</v>
      </c>
      <c r="O332" s="32" t="s">
        <v>16</v>
      </c>
      <c r="P332" s="32" t="s">
        <v>16</v>
      </c>
      <c r="Q332" s="32" t="s">
        <v>16</v>
      </c>
      <c r="R332" s="32" t="s">
        <v>16</v>
      </c>
      <c r="S332" s="32" t="s">
        <v>16</v>
      </c>
      <c r="T332" s="34" t="s">
        <v>16</v>
      </c>
      <c r="U332" s="34" t="s">
        <v>16</v>
      </c>
      <c r="V332" s="34" t="s">
        <v>16</v>
      </c>
      <c r="W332" s="34" t="s">
        <v>16</v>
      </c>
      <c r="X332" s="34" t="s">
        <v>16</v>
      </c>
      <c r="Y332" s="34" t="s">
        <v>16</v>
      </c>
      <c r="Z332" s="34" t="s">
        <v>16</v>
      </c>
      <c r="AA332" s="34" t="s">
        <v>16</v>
      </c>
      <c r="AB332" s="34" t="s">
        <v>16</v>
      </c>
    </row>
    <row r="333" spans="1:28" ht="15" customHeight="1" x14ac:dyDescent="0.25">
      <c r="A333" s="35" t="s">
        <v>346</v>
      </c>
      <c r="B333" s="36" t="s">
        <v>256</v>
      </c>
      <c r="C333" s="36" t="s">
        <v>256</v>
      </c>
      <c r="D333" s="36">
        <v>1</v>
      </c>
      <c r="E333" s="36">
        <v>1</v>
      </c>
      <c r="F333" s="36">
        <v>1</v>
      </c>
      <c r="G333" s="36" t="s">
        <v>256</v>
      </c>
      <c r="H333" s="36">
        <v>1</v>
      </c>
      <c r="I333" s="36" t="s">
        <v>256</v>
      </c>
      <c r="J333" s="36">
        <v>1</v>
      </c>
      <c r="K333" s="36" t="s">
        <v>28</v>
      </c>
      <c r="L333" s="36">
        <v>292</v>
      </c>
      <c r="M333" s="36">
        <v>445</v>
      </c>
      <c r="N333" s="36">
        <v>413</v>
      </c>
      <c r="O333" s="36">
        <v>354</v>
      </c>
      <c r="P333" s="36">
        <v>193</v>
      </c>
      <c r="Q333" s="36">
        <v>432</v>
      </c>
      <c r="R333" s="36">
        <v>191</v>
      </c>
      <c r="S333" s="36">
        <v>498</v>
      </c>
      <c r="T333" s="38">
        <v>1.2</v>
      </c>
      <c r="U333" s="38">
        <v>1.1000000000000001</v>
      </c>
      <c r="V333" s="38">
        <v>1.5</v>
      </c>
      <c r="W333" s="38">
        <v>1.3</v>
      </c>
      <c r="X333" s="38">
        <v>1.4</v>
      </c>
      <c r="Y333" s="38">
        <v>1.2</v>
      </c>
      <c r="Z333" s="38">
        <v>1.3</v>
      </c>
      <c r="AA333" s="38">
        <v>1.1000000000000001</v>
      </c>
      <c r="AB333" s="38">
        <v>1.4</v>
      </c>
    </row>
    <row r="334" spans="1:28" ht="15" customHeight="1" x14ac:dyDescent="0.25">
      <c r="A334" s="35" t="s">
        <v>347</v>
      </c>
      <c r="B334" s="36">
        <v>2</v>
      </c>
      <c r="C334" s="36">
        <v>5</v>
      </c>
      <c r="D334" s="36">
        <v>7</v>
      </c>
      <c r="E334" s="36">
        <v>4</v>
      </c>
      <c r="F334" s="36">
        <v>8</v>
      </c>
      <c r="G334" s="36">
        <v>3</v>
      </c>
      <c r="H334" s="36">
        <v>7</v>
      </c>
      <c r="I334" s="36">
        <v>3</v>
      </c>
      <c r="J334" s="36">
        <v>10</v>
      </c>
      <c r="K334" s="36">
        <v>622</v>
      </c>
      <c r="L334" s="36">
        <v>1196</v>
      </c>
      <c r="M334" s="36">
        <v>1538</v>
      </c>
      <c r="N334" s="36">
        <v>968</v>
      </c>
      <c r="O334" s="36">
        <v>1712</v>
      </c>
      <c r="P334" s="36">
        <v>545</v>
      </c>
      <c r="Q334" s="36">
        <v>1298</v>
      </c>
      <c r="R334" s="36">
        <v>679</v>
      </c>
      <c r="S334" s="36">
        <v>1944</v>
      </c>
      <c r="T334" s="38">
        <v>3.8</v>
      </c>
      <c r="U334" s="38">
        <v>4.0999999999999996</v>
      </c>
      <c r="V334" s="38">
        <v>4.5</v>
      </c>
      <c r="W334" s="38">
        <v>4.5999999999999996</v>
      </c>
      <c r="X334" s="38">
        <v>4.8</v>
      </c>
      <c r="Y334" s="38">
        <v>5.6</v>
      </c>
      <c r="Z334" s="38">
        <v>5.3</v>
      </c>
      <c r="AA334" s="38">
        <v>5.0999999999999996</v>
      </c>
      <c r="AB334" s="38">
        <v>5</v>
      </c>
    </row>
    <row r="335" spans="1:28" ht="15" customHeight="1" x14ac:dyDescent="0.25">
      <c r="A335" s="35" t="s">
        <v>348</v>
      </c>
      <c r="B335" s="36">
        <v>3</v>
      </c>
      <c r="C335" s="36">
        <v>5</v>
      </c>
      <c r="D335" s="36">
        <v>8</v>
      </c>
      <c r="E335" s="36">
        <v>5</v>
      </c>
      <c r="F335" s="36">
        <v>14</v>
      </c>
      <c r="G335" s="36">
        <v>4</v>
      </c>
      <c r="H335" s="36">
        <v>8</v>
      </c>
      <c r="I335" s="36">
        <v>3</v>
      </c>
      <c r="J335" s="36">
        <v>12</v>
      </c>
      <c r="K335" s="36">
        <v>330</v>
      </c>
      <c r="L335" s="36">
        <v>631</v>
      </c>
      <c r="M335" s="36">
        <v>1092</v>
      </c>
      <c r="N335" s="36">
        <v>572</v>
      </c>
      <c r="O335" s="36">
        <v>1576</v>
      </c>
      <c r="P335" s="36">
        <v>506</v>
      </c>
      <c r="Q335" s="36">
        <v>1048</v>
      </c>
      <c r="R335" s="36">
        <v>282</v>
      </c>
      <c r="S335" s="36">
        <v>1566</v>
      </c>
      <c r="T335" s="38">
        <v>8.8000000000000007</v>
      </c>
      <c r="U335" s="38">
        <v>8.1999999999999993</v>
      </c>
      <c r="V335" s="38">
        <v>7.5</v>
      </c>
      <c r="W335" s="38">
        <v>8.5</v>
      </c>
      <c r="X335" s="38">
        <v>8.9</v>
      </c>
      <c r="Y335" s="38">
        <v>8.6999999999999993</v>
      </c>
      <c r="Z335" s="38">
        <v>8.1</v>
      </c>
      <c r="AA335" s="38">
        <v>9.1</v>
      </c>
      <c r="AB335" s="38">
        <v>7.5</v>
      </c>
    </row>
    <row r="336" spans="1:28" ht="15" customHeight="1" x14ac:dyDescent="0.25">
      <c r="A336" s="35" t="s">
        <v>349</v>
      </c>
      <c r="B336" s="36">
        <v>15</v>
      </c>
      <c r="C336" s="36">
        <v>25</v>
      </c>
      <c r="D336" s="36">
        <v>34</v>
      </c>
      <c r="E336" s="36">
        <v>19</v>
      </c>
      <c r="F336" s="36">
        <v>68</v>
      </c>
      <c r="G336" s="36">
        <v>22</v>
      </c>
      <c r="H336" s="36">
        <v>35</v>
      </c>
      <c r="I336" s="36">
        <v>20</v>
      </c>
      <c r="J336" s="36">
        <v>46</v>
      </c>
      <c r="K336" s="36">
        <v>1192</v>
      </c>
      <c r="L336" s="36">
        <v>2154</v>
      </c>
      <c r="M336" s="36">
        <v>2829</v>
      </c>
      <c r="N336" s="36">
        <v>1442</v>
      </c>
      <c r="O336" s="36">
        <v>4498</v>
      </c>
      <c r="P336" s="36">
        <v>1599</v>
      </c>
      <c r="Q336" s="36">
        <v>2373</v>
      </c>
      <c r="R336" s="36">
        <v>1400</v>
      </c>
      <c r="S336" s="36">
        <v>3825</v>
      </c>
      <c r="T336" s="38">
        <v>12.3</v>
      </c>
      <c r="U336" s="38">
        <v>11.6</v>
      </c>
      <c r="V336" s="38">
        <v>12.1</v>
      </c>
      <c r="W336" s="38">
        <v>12.9</v>
      </c>
      <c r="X336" s="38">
        <v>15.2</v>
      </c>
      <c r="Y336" s="38">
        <v>13.7</v>
      </c>
      <c r="Z336" s="38">
        <v>14.6</v>
      </c>
      <c r="AA336" s="38">
        <v>14</v>
      </c>
      <c r="AB336" s="38">
        <v>11.9</v>
      </c>
    </row>
    <row r="337" spans="1:28" ht="15" customHeight="1" x14ac:dyDescent="0.25">
      <c r="A337" s="35" t="s">
        <v>350</v>
      </c>
      <c r="B337" s="36">
        <v>6</v>
      </c>
      <c r="C337" s="36">
        <v>17</v>
      </c>
      <c r="D337" s="36">
        <v>26</v>
      </c>
      <c r="E337" s="36">
        <v>11</v>
      </c>
      <c r="F337" s="36">
        <v>38</v>
      </c>
      <c r="G337" s="36">
        <v>10</v>
      </c>
      <c r="H337" s="36">
        <v>30</v>
      </c>
      <c r="I337" s="36">
        <v>6</v>
      </c>
      <c r="J337" s="36">
        <v>21</v>
      </c>
      <c r="K337" s="36">
        <v>420</v>
      </c>
      <c r="L337" s="36">
        <v>1385</v>
      </c>
      <c r="M337" s="36">
        <v>1483</v>
      </c>
      <c r="N337" s="36">
        <v>722</v>
      </c>
      <c r="O337" s="36">
        <v>2047</v>
      </c>
      <c r="P337" s="36">
        <v>508</v>
      </c>
      <c r="Q337" s="36">
        <v>1647</v>
      </c>
      <c r="R337" s="36">
        <v>432</v>
      </c>
      <c r="S337" s="36">
        <v>1406</v>
      </c>
      <c r="T337" s="38">
        <v>15.1</v>
      </c>
      <c r="U337" s="38">
        <v>12.3</v>
      </c>
      <c r="V337" s="38">
        <v>17.399999999999999</v>
      </c>
      <c r="W337" s="38">
        <v>14.7</v>
      </c>
      <c r="X337" s="38">
        <v>18.399999999999999</v>
      </c>
      <c r="Y337" s="38">
        <v>19.899999999999999</v>
      </c>
      <c r="Z337" s="38">
        <v>18.399999999999999</v>
      </c>
      <c r="AA337" s="38">
        <v>13.1</v>
      </c>
      <c r="AB337" s="38">
        <v>15.1</v>
      </c>
    </row>
    <row r="338" spans="1:28" ht="15" customHeight="1" x14ac:dyDescent="0.25">
      <c r="A338" s="35" t="s">
        <v>351</v>
      </c>
      <c r="B338" s="36">
        <v>15</v>
      </c>
      <c r="C338" s="36">
        <v>54</v>
      </c>
      <c r="D338" s="36">
        <v>60</v>
      </c>
      <c r="E338" s="36">
        <v>23</v>
      </c>
      <c r="F338" s="36">
        <v>92</v>
      </c>
      <c r="G338" s="36">
        <v>19</v>
      </c>
      <c r="H338" s="36">
        <v>48</v>
      </c>
      <c r="I338" s="36">
        <v>15</v>
      </c>
      <c r="J338" s="36">
        <v>52</v>
      </c>
      <c r="K338" s="36">
        <v>1022</v>
      </c>
      <c r="L338" s="36">
        <v>3048</v>
      </c>
      <c r="M338" s="36">
        <v>3493</v>
      </c>
      <c r="N338" s="36">
        <v>1322</v>
      </c>
      <c r="O338" s="36">
        <v>4825</v>
      </c>
      <c r="P338" s="36">
        <v>985</v>
      </c>
      <c r="Q338" s="36">
        <v>2387</v>
      </c>
      <c r="R338" s="36">
        <v>956</v>
      </c>
      <c r="S338" s="36">
        <v>2701</v>
      </c>
      <c r="T338" s="38">
        <v>14.2</v>
      </c>
      <c r="U338" s="38">
        <v>17.600000000000001</v>
      </c>
      <c r="V338" s="38">
        <v>17.3</v>
      </c>
      <c r="W338" s="38">
        <v>17.7</v>
      </c>
      <c r="X338" s="38">
        <v>19.100000000000001</v>
      </c>
      <c r="Y338" s="38">
        <v>19.399999999999999</v>
      </c>
      <c r="Z338" s="38">
        <v>20.3</v>
      </c>
      <c r="AA338" s="38">
        <v>16.2</v>
      </c>
      <c r="AB338" s="38">
        <v>19.100000000000001</v>
      </c>
    </row>
    <row r="339" spans="1:28" ht="15" customHeight="1" x14ac:dyDescent="0.25">
      <c r="A339" s="35" t="s">
        <v>352</v>
      </c>
      <c r="B339" s="36">
        <v>9</v>
      </c>
      <c r="C339" s="36">
        <v>64</v>
      </c>
      <c r="D339" s="36">
        <v>38</v>
      </c>
      <c r="E339" s="36">
        <v>12</v>
      </c>
      <c r="F339" s="36">
        <v>66</v>
      </c>
      <c r="G339" s="36">
        <v>12</v>
      </c>
      <c r="H339" s="36">
        <v>44</v>
      </c>
      <c r="I339" s="36">
        <v>20</v>
      </c>
      <c r="J339" s="36">
        <v>35</v>
      </c>
      <c r="K339" s="36">
        <v>340</v>
      </c>
      <c r="L339" s="36">
        <v>2393</v>
      </c>
      <c r="M339" s="36">
        <v>1664</v>
      </c>
      <c r="N339" s="36">
        <v>578</v>
      </c>
      <c r="O339" s="36">
        <v>2596</v>
      </c>
      <c r="P339" s="36">
        <v>488</v>
      </c>
      <c r="Q339" s="36">
        <v>1410</v>
      </c>
      <c r="R339" s="36">
        <v>871</v>
      </c>
      <c r="S339" s="36">
        <v>1238</v>
      </c>
      <c r="T339" s="38">
        <v>27.7</v>
      </c>
      <c r="U339" s="38">
        <v>26.6</v>
      </c>
      <c r="V339" s="38">
        <v>23</v>
      </c>
      <c r="W339" s="38">
        <v>21.6</v>
      </c>
      <c r="X339" s="38">
        <v>25.3</v>
      </c>
      <c r="Y339" s="38">
        <v>24.1</v>
      </c>
      <c r="Z339" s="38">
        <v>31</v>
      </c>
      <c r="AA339" s="38">
        <v>23.1</v>
      </c>
      <c r="AB339" s="38">
        <v>28.4</v>
      </c>
    </row>
    <row r="340" spans="1:28" ht="15" customHeight="1" thickBot="1" x14ac:dyDescent="0.3">
      <c r="A340" s="39"/>
      <c r="B340" s="264"/>
      <c r="C340" s="263"/>
      <c r="D340" s="263"/>
      <c r="E340" s="264"/>
      <c r="F340" s="263"/>
      <c r="G340" s="263"/>
      <c r="H340" s="264"/>
      <c r="I340" s="263"/>
      <c r="J340" s="263"/>
      <c r="K340" s="263"/>
      <c r="L340" s="263"/>
      <c r="M340" s="263"/>
      <c r="N340" s="263"/>
      <c r="O340" s="263"/>
      <c r="P340" s="263"/>
      <c r="Q340" s="263"/>
      <c r="R340" s="263"/>
      <c r="S340" s="263"/>
      <c r="T340" s="263"/>
      <c r="U340" s="263"/>
      <c r="V340" s="51"/>
      <c r="W340" s="263"/>
      <c r="X340" s="263"/>
      <c r="Y340" s="51"/>
      <c r="Z340" s="263"/>
      <c r="AA340" s="263"/>
      <c r="AB340" s="51"/>
    </row>
    <row r="341" spans="1:28" ht="194.25" customHeight="1" x14ac:dyDescent="0.25">
      <c r="A341" s="640" t="s">
        <v>353</v>
      </c>
      <c r="B341" s="640"/>
      <c r="C341" s="640"/>
      <c r="D341" s="640"/>
      <c r="E341" s="640"/>
      <c r="F341" s="640"/>
      <c r="G341" s="640"/>
      <c r="H341" s="640"/>
      <c r="I341" s="640"/>
      <c r="J341" s="640"/>
      <c r="K341" s="57"/>
      <c r="L341" s="57"/>
      <c r="M341" s="57"/>
      <c r="N341" s="263"/>
      <c r="O341" s="263"/>
      <c r="P341" s="263"/>
      <c r="Q341" s="263"/>
      <c r="R341" s="263"/>
      <c r="S341" s="263"/>
      <c r="T341" s="57"/>
      <c r="U341" s="57"/>
      <c r="V341" s="57"/>
      <c r="W341" s="263"/>
      <c r="X341" s="263"/>
      <c r="Y341" s="263"/>
      <c r="Z341" s="263"/>
      <c r="AA341" s="263"/>
      <c r="AB341" s="263"/>
    </row>
  </sheetData>
  <mergeCells count="5">
    <mergeCell ref="B3:J3"/>
    <mergeCell ref="K3:S3"/>
    <mergeCell ref="T3:AB3"/>
    <mergeCell ref="A341:J341"/>
    <mergeCell ref="A2:J2"/>
  </mergeCells>
  <pageMargins left="0.7" right="0.7" top="0.6" bottom="0.6" header="0.3" footer="0.3"/>
  <pageSetup scale="84" fitToHeight="0" orientation="portrait" r:id="rId1"/>
  <rowBreaks count="7" manualBreakCount="7">
    <brk id="44" max="16383" man="1"/>
    <brk id="78" max="16383" man="1"/>
    <brk id="114" max="16383" man="1"/>
    <brk id="148" max="16383" man="1"/>
    <brk id="261" max="16383" man="1"/>
    <brk id="301" max="16383" man="1"/>
    <brk id="33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F20E0C-6336-4028-BEF9-A88C4777B980}">
  <sheetPr>
    <pageSetUpPr fitToPage="1"/>
  </sheetPr>
  <dimension ref="A1:W355"/>
  <sheetViews>
    <sheetView workbookViewId="0"/>
  </sheetViews>
  <sheetFormatPr defaultRowHeight="15" x14ac:dyDescent="0.25"/>
  <cols>
    <col min="1" max="1" width="28.7109375" customWidth="1"/>
    <col min="2" max="2" width="7.28515625" style="15" customWidth="1"/>
    <col min="3" max="5" width="7.28515625" customWidth="1"/>
    <col min="6" max="6" width="7.28515625" style="15" customWidth="1"/>
    <col min="7" max="7" width="7.28515625" style="24" customWidth="1"/>
    <col min="8" max="12" width="7.28515625" customWidth="1"/>
  </cols>
  <sheetData>
    <row r="1" spans="1:17" x14ac:dyDescent="0.25">
      <c r="A1" s="23" t="s">
        <v>87</v>
      </c>
      <c r="B1" s="264"/>
      <c r="C1" s="263"/>
      <c r="D1" s="263"/>
      <c r="E1" s="263"/>
      <c r="F1" s="264"/>
      <c r="H1" s="263"/>
      <c r="I1" s="263"/>
      <c r="J1" s="263"/>
      <c r="K1" s="263"/>
      <c r="L1" s="263"/>
      <c r="M1" s="263"/>
      <c r="N1" s="263"/>
      <c r="O1" s="263"/>
      <c r="P1" s="263"/>
      <c r="Q1" s="263"/>
    </row>
    <row r="2" spans="1:17" ht="27" customHeight="1" x14ac:dyDescent="0.25">
      <c r="A2" s="631" t="s">
        <v>782</v>
      </c>
      <c r="B2" s="632"/>
      <c r="C2" s="632"/>
      <c r="D2" s="632"/>
      <c r="E2" s="632"/>
      <c r="F2" s="632"/>
      <c r="G2" s="632"/>
      <c r="H2" s="263"/>
      <c r="I2" s="263"/>
      <c r="J2" s="263"/>
      <c r="K2" s="263"/>
      <c r="L2" s="263"/>
      <c r="M2" s="263"/>
      <c r="N2" s="263"/>
      <c r="O2" s="263"/>
      <c r="P2" s="263"/>
      <c r="Q2" s="263"/>
    </row>
    <row r="3" spans="1:17" ht="26.25" customHeight="1" x14ac:dyDescent="0.25">
      <c r="A3" s="390"/>
      <c r="B3" s="650" t="s">
        <v>783</v>
      </c>
      <c r="C3" s="650"/>
      <c r="D3" s="650"/>
      <c r="E3" s="650"/>
      <c r="F3" s="650"/>
      <c r="G3" s="650"/>
      <c r="H3" s="650"/>
      <c r="I3" s="651"/>
      <c r="J3" s="651"/>
      <c r="K3" s="651"/>
      <c r="L3" s="651"/>
      <c r="M3" s="263"/>
      <c r="N3" s="263"/>
      <c r="O3" s="263"/>
      <c r="P3" s="263"/>
      <c r="Q3" s="263"/>
    </row>
    <row r="4" spans="1:17" ht="56.25" customHeight="1" thickBot="1" x14ac:dyDescent="0.3">
      <c r="A4" s="86"/>
      <c r="B4" s="58" t="s">
        <v>784</v>
      </c>
      <c r="C4" s="58" t="s">
        <v>785</v>
      </c>
      <c r="D4" s="58" t="s">
        <v>786</v>
      </c>
      <c r="E4" s="58" t="s">
        <v>787</v>
      </c>
      <c r="F4" s="58" t="s">
        <v>788</v>
      </c>
      <c r="G4" s="58" t="s">
        <v>789</v>
      </c>
      <c r="H4" s="58" t="s">
        <v>790</v>
      </c>
      <c r="I4" s="58" t="s">
        <v>791</v>
      </c>
      <c r="J4" s="58" t="s">
        <v>792</v>
      </c>
      <c r="K4" s="58" t="s">
        <v>793</v>
      </c>
      <c r="L4" s="58" t="s">
        <v>173</v>
      </c>
      <c r="M4" s="263"/>
      <c r="N4" s="263"/>
      <c r="O4" s="263"/>
      <c r="P4" s="263"/>
      <c r="Q4" s="263"/>
    </row>
    <row r="5" spans="1:17" ht="24" customHeight="1" thickTop="1" x14ac:dyDescent="0.25">
      <c r="A5" s="27" t="s">
        <v>14</v>
      </c>
      <c r="B5" s="61">
        <v>50</v>
      </c>
      <c r="C5" s="61">
        <v>1.7</v>
      </c>
      <c r="D5" s="61">
        <v>8.3000000000000007</v>
      </c>
      <c r="E5" s="61">
        <v>8.1</v>
      </c>
      <c r="F5" s="61">
        <v>0.5</v>
      </c>
      <c r="G5" s="61">
        <v>8.6999999999999993</v>
      </c>
      <c r="H5" s="61">
        <v>3.7</v>
      </c>
      <c r="I5" s="61">
        <v>9.1</v>
      </c>
      <c r="J5" s="61">
        <v>2.1</v>
      </c>
      <c r="K5" s="61">
        <v>5.2</v>
      </c>
      <c r="L5" s="61">
        <v>9.1</v>
      </c>
      <c r="M5" s="263"/>
      <c r="N5" s="263"/>
      <c r="O5" s="263"/>
      <c r="P5" s="263"/>
      <c r="Q5" s="263"/>
    </row>
    <row r="6" spans="1:17" ht="24" customHeight="1" x14ac:dyDescent="0.25">
      <c r="A6" s="31" t="s">
        <v>101</v>
      </c>
      <c r="B6" s="33" t="s">
        <v>16</v>
      </c>
      <c r="C6" s="33" t="s">
        <v>16</v>
      </c>
      <c r="D6" s="33" t="s">
        <v>16</v>
      </c>
      <c r="E6" s="33" t="s">
        <v>16</v>
      </c>
      <c r="F6" s="33" t="s">
        <v>16</v>
      </c>
      <c r="G6" s="33" t="s">
        <v>16</v>
      </c>
      <c r="H6" s="33" t="s">
        <v>16</v>
      </c>
      <c r="I6" s="33" t="s">
        <v>16</v>
      </c>
      <c r="J6" s="33" t="s">
        <v>16</v>
      </c>
      <c r="K6" s="33" t="s">
        <v>16</v>
      </c>
      <c r="L6" s="33" t="s">
        <v>16</v>
      </c>
      <c r="M6" s="263"/>
      <c r="N6" s="263"/>
      <c r="O6" s="263"/>
      <c r="P6" s="263"/>
      <c r="Q6" s="263"/>
    </row>
    <row r="7" spans="1:17" ht="15" customHeight="1" x14ac:dyDescent="0.25">
      <c r="A7" s="35" t="s">
        <v>102</v>
      </c>
      <c r="B7" s="37">
        <v>59.4</v>
      </c>
      <c r="C7" s="37">
        <v>2.9</v>
      </c>
      <c r="D7" s="37">
        <v>8.1999999999999993</v>
      </c>
      <c r="E7" s="37">
        <v>6.5</v>
      </c>
      <c r="F7" s="37">
        <v>0.7</v>
      </c>
      <c r="G7" s="37">
        <v>8.3000000000000007</v>
      </c>
      <c r="H7" s="37">
        <v>20.399999999999999</v>
      </c>
      <c r="I7" s="37">
        <v>24</v>
      </c>
      <c r="J7" s="37">
        <v>3.4</v>
      </c>
      <c r="K7" s="37">
        <v>5.9</v>
      </c>
      <c r="L7" s="37">
        <v>8.5</v>
      </c>
      <c r="M7" s="263"/>
      <c r="N7" s="263"/>
      <c r="O7" s="263"/>
      <c r="P7" s="263"/>
      <c r="Q7" s="263"/>
    </row>
    <row r="8" spans="1:17" ht="15" customHeight="1" x14ac:dyDescent="0.25">
      <c r="A8" s="35" t="s">
        <v>103</v>
      </c>
      <c r="B8" s="37">
        <v>45.5</v>
      </c>
      <c r="C8" s="37">
        <v>1.8</v>
      </c>
      <c r="D8" s="37">
        <v>6.1</v>
      </c>
      <c r="E8" s="37">
        <v>6.1</v>
      </c>
      <c r="F8" s="37">
        <v>0.6</v>
      </c>
      <c r="G8" s="37">
        <v>7.1</v>
      </c>
      <c r="H8" s="37">
        <v>9.9</v>
      </c>
      <c r="I8" s="37">
        <v>14.2</v>
      </c>
      <c r="J8" s="37">
        <v>2.2999999999999998</v>
      </c>
      <c r="K8" s="37">
        <v>4.7</v>
      </c>
      <c r="L8" s="37">
        <v>7.8</v>
      </c>
      <c r="M8" s="263"/>
      <c r="N8" s="263"/>
      <c r="O8" s="263"/>
      <c r="P8" s="263"/>
      <c r="Q8" s="263"/>
    </row>
    <row r="9" spans="1:17" ht="15" customHeight="1" x14ac:dyDescent="0.25">
      <c r="A9" s="35" t="s">
        <v>104</v>
      </c>
      <c r="B9" s="37">
        <v>40</v>
      </c>
      <c r="C9" s="37">
        <v>1.9</v>
      </c>
      <c r="D9" s="37">
        <v>5.5</v>
      </c>
      <c r="E9" s="37">
        <v>6</v>
      </c>
      <c r="F9" s="37">
        <v>0.5</v>
      </c>
      <c r="G9" s="37">
        <v>6.9</v>
      </c>
      <c r="H9" s="37">
        <v>5</v>
      </c>
      <c r="I9" s="37">
        <v>8.4</v>
      </c>
      <c r="J9" s="37">
        <v>2.2000000000000002</v>
      </c>
      <c r="K9" s="37">
        <v>4.0999999999999996</v>
      </c>
      <c r="L9" s="37">
        <v>7.6</v>
      </c>
      <c r="M9" s="263"/>
      <c r="N9" s="263"/>
      <c r="O9" s="263"/>
      <c r="P9" s="263"/>
      <c r="Q9" s="263"/>
    </row>
    <row r="10" spans="1:17" ht="15" customHeight="1" x14ac:dyDescent="0.25">
      <c r="A10" s="35" t="s">
        <v>105</v>
      </c>
      <c r="B10" s="37">
        <v>43.5</v>
      </c>
      <c r="C10" s="37">
        <v>1.8</v>
      </c>
      <c r="D10" s="37">
        <v>7</v>
      </c>
      <c r="E10" s="37">
        <v>7.4</v>
      </c>
      <c r="F10" s="37">
        <v>0.5</v>
      </c>
      <c r="G10" s="37">
        <v>8.4</v>
      </c>
      <c r="H10" s="37">
        <v>1.9</v>
      </c>
      <c r="I10" s="37">
        <v>6.8</v>
      </c>
      <c r="J10" s="37">
        <v>1.9</v>
      </c>
      <c r="K10" s="37">
        <v>4.3</v>
      </c>
      <c r="L10" s="37">
        <v>8.4</v>
      </c>
      <c r="M10" s="263"/>
      <c r="N10" s="263"/>
      <c r="O10" s="263"/>
      <c r="P10" s="263"/>
      <c r="Q10" s="263"/>
    </row>
    <row r="11" spans="1:17" ht="15" customHeight="1" x14ac:dyDescent="0.25">
      <c r="A11" s="35" t="s">
        <v>106</v>
      </c>
      <c r="B11" s="37">
        <v>48.1</v>
      </c>
      <c r="C11" s="37">
        <v>1.7</v>
      </c>
      <c r="D11" s="37">
        <v>8.1</v>
      </c>
      <c r="E11" s="37">
        <v>8.1</v>
      </c>
      <c r="F11" s="37">
        <v>0.5</v>
      </c>
      <c r="G11" s="37">
        <v>8.1</v>
      </c>
      <c r="H11" s="37">
        <v>1.8</v>
      </c>
      <c r="I11" s="37">
        <v>8.4</v>
      </c>
      <c r="J11" s="37">
        <v>2</v>
      </c>
      <c r="K11" s="37">
        <v>4.5</v>
      </c>
      <c r="L11" s="37">
        <v>8.6</v>
      </c>
      <c r="M11" s="263"/>
      <c r="N11" s="263"/>
      <c r="O11" s="263"/>
      <c r="P11" s="263"/>
      <c r="Q11" s="263"/>
    </row>
    <row r="12" spans="1:17" ht="15" customHeight="1" x14ac:dyDescent="0.25">
      <c r="A12" s="35" t="s">
        <v>107</v>
      </c>
      <c r="B12" s="37">
        <v>52.3</v>
      </c>
      <c r="C12" s="37">
        <v>1.4</v>
      </c>
      <c r="D12" s="37">
        <v>8.5</v>
      </c>
      <c r="E12" s="37">
        <v>9.5</v>
      </c>
      <c r="F12" s="37">
        <v>0.4</v>
      </c>
      <c r="G12" s="37">
        <v>9.6999999999999993</v>
      </c>
      <c r="H12" s="37">
        <v>1.6</v>
      </c>
      <c r="I12" s="37">
        <v>8.1</v>
      </c>
      <c r="J12" s="37">
        <v>1.7</v>
      </c>
      <c r="K12" s="37">
        <v>6</v>
      </c>
      <c r="L12" s="37">
        <v>9.1</v>
      </c>
      <c r="M12" s="263"/>
      <c r="N12" s="263"/>
      <c r="O12" s="263"/>
      <c r="P12" s="263"/>
      <c r="Q12" s="263"/>
    </row>
    <row r="13" spans="1:17" ht="15" customHeight="1" x14ac:dyDescent="0.25">
      <c r="A13" s="35" t="s">
        <v>108</v>
      </c>
      <c r="B13" s="37">
        <v>57.7</v>
      </c>
      <c r="C13" s="37">
        <v>1.4</v>
      </c>
      <c r="D13" s="37">
        <v>11.7</v>
      </c>
      <c r="E13" s="37">
        <v>10</v>
      </c>
      <c r="F13" s="37">
        <v>0.5</v>
      </c>
      <c r="G13" s="37">
        <v>10.3</v>
      </c>
      <c r="H13" s="37">
        <v>1.7</v>
      </c>
      <c r="I13" s="37">
        <v>6.8</v>
      </c>
      <c r="J13" s="37">
        <v>1.8</v>
      </c>
      <c r="K13" s="37">
        <v>5.9</v>
      </c>
      <c r="L13" s="37">
        <v>11</v>
      </c>
      <c r="M13" s="263"/>
      <c r="N13" s="263"/>
      <c r="O13" s="263"/>
      <c r="P13" s="263"/>
      <c r="Q13" s="263"/>
    </row>
    <row r="14" spans="1:17" ht="15" customHeight="1" x14ac:dyDescent="0.25">
      <c r="A14" s="35" t="s">
        <v>109</v>
      </c>
      <c r="B14" s="37">
        <v>62.9</v>
      </c>
      <c r="C14" s="37">
        <v>1.2</v>
      </c>
      <c r="D14" s="37">
        <v>13.3</v>
      </c>
      <c r="E14" s="37">
        <v>11.8</v>
      </c>
      <c r="F14" s="37">
        <v>0.4</v>
      </c>
      <c r="G14" s="37">
        <v>11.4</v>
      </c>
      <c r="H14" s="37">
        <v>2.2999999999999998</v>
      </c>
      <c r="I14" s="37">
        <v>3.2</v>
      </c>
      <c r="J14" s="37">
        <v>2.7</v>
      </c>
      <c r="K14" s="37">
        <v>6.9</v>
      </c>
      <c r="L14" s="37">
        <v>12.9</v>
      </c>
      <c r="M14" s="263"/>
      <c r="N14" s="263"/>
      <c r="O14" s="263"/>
      <c r="P14" s="263"/>
      <c r="Q14" s="263"/>
    </row>
    <row r="15" spans="1:17" ht="24" customHeight="1" x14ac:dyDescent="0.25">
      <c r="A15" s="31" t="s">
        <v>110</v>
      </c>
      <c r="B15" s="33" t="s">
        <v>16</v>
      </c>
      <c r="C15" s="33" t="s">
        <v>16</v>
      </c>
      <c r="D15" s="33" t="s">
        <v>16</v>
      </c>
      <c r="E15" s="33" t="s">
        <v>16</v>
      </c>
      <c r="F15" s="33" t="s">
        <v>16</v>
      </c>
      <c r="G15" s="33" t="s">
        <v>16</v>
      </c>
      <c r="H15" s="33" t="s">
        <v>16</v>
      </c>
      <c r="I15" s="33" t="s">
        <v>16</v>
      </c>
      <c r="J15" s="33" t="s">
        <v>16</v>
      </c>
      <c r="K15" s="33" t="s">
        <v>16</v>
      </c>
      <c r="L15" s="33" t="s">
        <v>16</v>
      </c>
      <c r="M15" s="263"/>
      <c r="N15" s="263"/>
      <c r="O15" s="263"/>
      <c r="P15" s="263"/>
      <c r="Q15" s="263"/>
    </row>
    <row r="16" spans="1:17" ht="15" customHeight="1" x14ac:dyDescent="0.25">
      <c r="A16" s="35" t="s">
        <v>111</v>
      </c>
      <c r="B16" s="37">
        <v>37.4</v>
      </c>
      <c r="C16" s="37">
        <v>1.6</v>
      </c>
      <c r="D16" s="37">
        <v>8.4</v>
      </c>
      <c r="E16" s="37">
        <v>5.6</v>
      </c>
      <c r="F16" s="37">
        <v>0.7</v>
      </c>
      <c r="G16" s="37">
        <v>6.3</v>
      </c>
      <c r="H16" s="37">
        <v>0.7</v>
      </c>
      <c r="I16" s="37">
        <v>3.6</v>
      </c>
      <c r="J16" s="37">
        <v>1.8</v>
      </c>
      <c r="K16" s="37">
        <v>6.4</v>
      </c>
      <c r="L16" s="37">
        <v>5.4</v>
      </c>
      <c r="M16" s="90"/>
      <c r="N16" s="90"/>
      <c r="O16" s="90"/>
      <c r="P16" s="90"/>
      <c r="Q16" s="90"/>
    </row>
    <row r="17" spans="1:17" x14ac:dyDescent="0.25">
      <c r="A17" s="35" t="s">
        <v>24</v>
      </c>
      <c r="B17" s="37">
        <v>166.1</v>
      </c>
      <c r="C17" s="37">
        <v>2</v>
      </c>
      <c r="D17" s="37">
        <v>5.3</v>
      </c>
      <c r="E17" s="37">
        <v>9.4</v>
      </c>
      <c r="F17" s="37">
        <v>0.1</v>
      </c>
      <c r="G17" s="37">
        <v>12.4</v>
      </c>
      <c r="H17" s="37">
        <v>14.8</v>
      </c>
      <c r="I17" s="37">
        <v>117.6</v>
      </c>
      <c r="J17" s="37">
        <v>1.6</v>
      </c>
      <c r="K17" s="37">
        <v>2</v>
      </c>
      <c r="L17" s="37">
        <v>9.4</v>
      </c>
      <c r="M17" s="90"/>
      <c r="N17" s="90"/>
      <c r="O17" s="90"/>
      <c r="P17" s="90"/>
      <c r="Q17" s="90"/>
    </row>
    <row r="18" spans="1:17" x14ac:dyDescent="0.25">
      <c r="A18" s="35" t="s">
        <v>29</v>
      </c>
      <c r="B18" s="37">
        <v>153.19999999999999</v>
      </c>
      <c r="C18" s="37">
        <v>4.7</v>
      </c>
      <c r="D18" s="37">
        <v>18</v>
      </c>
      <c r="E18" s="37">
        <v>17.2</v>
      </c>
      <c r="F18" s="37">
        <v>3.8</v>
      </c>
      <c r="G18" s="37">
        <v>10.199999999999999</v>
      </c>
      <c r="H18" s="37">
        <v>54.3</v>
      </c>
      <c r="I18" s="37">
        <v>62.4</v>
      </c>
      <c r="J18" s="37">
        <v>4.0999999999999996</v>
      </c>
      <c r="K18" s="37">
        <v>2.7</v>
      </c>
      <c r="L18" s="37">
        <v>11.5</v>
      </c>
      <c r="M18" s="90"/>
      <c r="N18" s="90"/>
      <c r="O18" s="90"/>
      <c r="P18" s="90"/>
      <c r="Q18" s="90"/>
    </row>
    <row r="19" spans="1:17" x14ac:dyDescent="0.25">
      <c r="A19" s="35" t="s">
        <v>34</v>
      </c>
      <c r="B19" s="37">
        <v>87.9</v>
      </c>
      <c r="C19" s="37">
        <v>1.8</v>
      </c>
      <c r="D19" s="37">
        <v>17.5</v>
      </c>
      <c r="E19" s="37">
        <v>19.899999999999999</v>
      </c>
      <c r="F19" s="37">
        <v>0.8</v>
      </c>
      <c r="G19" s="37">
        <v>14.7</v>
      </c>
      <c r="H19" s="37">
        <v>4.2</v>
      </c>
      <c r="I19" s="37">
        <v>4.5999999999999996</v>
      </c>
      <c r="J19" s="37">
        <v>4</v>
      </c>
      <c r="K19" s="37">
        <v>8.1999999999999993</v>
      </c>
      <c r="L19" s="37">
        <v>16.8</v>
      </c>
      <c r="M19" s="90"/>
      <c r="N19" s="90"/>
      <c r="O19" s="90"/>
      <c r="P19" s="90"/>
      <c r="Q19" s="90"/>
    </row>
    <row r="20" spans="1:17" x14ac:dyDescent="0.25">
      <c r="A20" s="39" t="s">
        <v>35</v>
      </c>
      <c r="B20" s="37">
        <v>105.8</v>
      </c>
      <c r="C20" s="37">
        <v>1.6</v>
      </c>
      <c r="D20" s="37">
        <v>26.2</v>
      </c>
      <c r="E20" s="37">
        <v>19.3</v>
      </c>
      <c r="F20" s="37">
        <v>2.2999999999999998</v>
      </c>
      <c r="G20" s="37">
        <v>16.7</v>
      </c>
      <c r="H20" s="37">
        <v>4.5999999999999996</v>
      </c>
      <c r="I20" s="37">
        <v>6</v>
      </c>
      <c r="J20" s="37">
        <v>5.0999999999999996</v>
      </c>
      <c r="K20" s="37">
        <v>9</v>
      </c>
      <c r="L20" s="37">
        <v>21.1</v>
      </c>
      <c r="M20" s="90"/>
      <c r="N20" s="90"/>
      <c r="O20" s="90"/>
      <c r="P20" s="90"/>
      <c r="Q20" s="90"/>
    </row>
    <row r="21" spans="1:17" x14ac:dyDescent="0.25">
      <c r="A21" s="39" t="s">
        <v>36</v>
      </c>
      <c r="B21" s="37">
        <v>64</v>
      </c>
      <c r="C21" s="37">
        <v>2</v>
      </c>
      <c r="D21" s="37">
        <v>6.4</v>
      </c>
      <c r="E21" s="37">
        <v>20.7</v>
      </c>
      <c r="F21" s="37">
        <v>0.2</v>
      </c>
      <c r="G21" s="37">
        <v>11.9</v>
      </c>
      <c r="H21" s="37">
        <v>2.5</v>
      </c>
      <c r="I21" s="37">
        <v>2.6</v>
      </c>
      <c r="J21" s="37">
        <v>2.5</v>
      </c>
      <c r="K21" s="37">
        <v>7.2</v>
      </c>
      <c r="L21" s="37">
        <v>11</v>
      </c>
      <c r="M21" s="90"/>
      <c r="N21" s="90"/>
      <c r="O21" s="90"/>
      <c r="P21" s="90"/>
      <c r="Q21" s="90"/>
    </row>
    <row r="22" spans="1:17" x14ac:dyDescent="0.25">
      <c r="A22" s="35" t="s">
        <v>39</v>
      </c>
      <c r="B22" s="37">
        <v>52.2</v>
      </c>
      <c r="C22" s="37">
        <v>2.1</v>
      </c>
      <c r="D22" s="37">
        <v>7.3</v>
      </c>
      <c r="E22" s="37">
        <v>8.4</v>
      </c>
      <c r="F22" s="37">
        <v>2.2999999999999998</v>
      </c>
      <c r="G22" s="37">
        <v>6.8</v>
      </c>
      <c r="H22" s="37">
        <v>4.5999999999999996</v>
      </c>
      <c r="I22" s="37">
        <v>5.7</v>
      </c>
      <c r="J22" s="37">
        <v>7.5</v>
      </c>
      <c r="K22" s="37">
        <v>1.2</v>
      </c>
      <c r="L22" s="37">
        <v>12.8</v>
      </c>
      <c r="M22" s="90"/>
      <c r="N22" s="90"/>
      <c r="O22" s="90"/>
      <c r="P22" s="90"/>
      <c r="Q22" s="90"/>
    </row>
    <row r="23" spans="1:17" x14ac:dyDescent="0.25">
      <c r="A23" s="35" t="s">
        <v>45</v>
      </c>
      <c r="B23" s="37">
        <v>62.3</v>
      </c>
      <c r="C23" s="37">
        <v>1.6</v>
      </c>
      <c r="D23" s="37">
        <v>8.1999999999999993</v>
      </c>
      <c r="E23" s="37">
        <v>10.8</v>
      </c>
      <c r="F23" s="37">
        <v>0.8</v>
      </c>
      <c r="G23" s="37">
        <v>12.4</v>
      </c>
      <c r="H23" s="37">
        <v>1.4</v>
      </c>
      <c r="I23" s="37">
        <v>18.5</v>
      </c>
      <c r="J23" s="37">
        <v>1.6</v>
      </c>
      <c r="K23" s="37">
        <v>2.1</v>
      </c>
      <c r="L23" s="37">
        <v>8.3000000000000007</v>
      </c>
      <c r="M23" s="90"/>
      <c r="N23" s="90"/>
      <c r="O23" s="90"/>
      <c r="P23" s="90"/>
      <c r="Q23" s="90"/>
    </row>
    <row r="24" spans="1:17" ht="15" customHeight="1" x14ac:dyDescent="0.25">
      <c r="A24" s="39" t="s">
        <v>112</v>
      </c>
      <c r="B24" s="37">
        <v>51.8</v>
      </c>
      <c r="C24" s="37">
        <v>1.8</v>
      </c>
      <c r="D24" s="37">
        <v>7.6</v>
      </c>
      <c r="E24" s="37">
        <v>8.6</v>
      </c>
      <c r="F24" s="37">
        <v>0.1</v>
      </c>
      <c r="G24" s="37">
        <v>13.3</v>
      </c>
      <c r="H24" s="37">
        <v>1.5</v>
      </c>
      <c r="I24" s="37">
        <v>11.8</v>
      </c>
      <c r="J24" s="37">
        <v>1.3</v>
      </c>
      <c r="K24" s="37">
        <v>2</v>
      </c>
      <c r="L24" s="37">
        <v>8.1999999999999993</v>
      </c>
      <c r="M24" s="90"/>
      <c r="N24" s="90"/>
      <c r="O24" s="90"/>
      <c r="P24" s="90"/>
      <c r="Q24" s="90"/>
    </row>
    <row r="25" spans="1:17" ht="15" customHeight="1" x14ac:dyDescent="0.25">
      <c r="A25" s="39" t="s">
        <v>113</v>
      </c>
      <c r="B25" s="37">
        <v>72</v>
      </c>
      <c r="C25" s="37">
        <v>1.5</v>
      </c>
      <c r="D25" s="37">
        <v>8.8000000000000007</v>
      </c>
      <c r="E25" s="37">
        <v>12.7</v>
      </c>
      <c r="F25" s="37">
        <v>1.3</v>
      </c>
      <c r="G25" s="37">
        <v>11.5</v>
      </c>
      <c r="H25" s="37">
        <v>1.3</v>
      </c>
      <c r="I25" s="37">
        <v>23.6</v>
      </c>
      <c r="J25" s="37">
        <v>1.8</v>
      </c>
      <c r="K25" s="37">
        <v>2.1</v>
      </c>
      <c r="L25" s="37">
        <v>8.5</v>
      </c>
      <c r="M25" s="90"/>
      <c r="N25" s="90"/>
      <c r="O25" s="90"/>
      <c r="P25" s="90"/>
      <c r="Q25" s="90"/>
    </row>
    <row r="26" spans="1:17" ht="15" customHeight="1" x14ac:dyDescent="0.25">
      <c r="A26" s="35" t="s">
        <v>53</v>
      </c>
      <c r="B26" s="37">
        <v>54.2</v>
      </c>
      <c r="C26" s="37">
        <v>1.9</v>
      </c>
      <c r="D26" s="37">
        <v>7.6</v>
      </c>
      <c r="E26" s="37">
        <v>13.4</v>
      </c>
      <c r="F26" s="37">
        <v>0.2</v>
      </c>
      <c r="G26" s="37">
        <v>9.1999999999999993</v>
      </c>
      <c r="H26" s="37">
        <v>0.7</v>
      </c>
      <c r="I26" s="37">
        <v>2</v>
      </c>
      <c r="J26" s="37">
        <v>2.2999999999999998</v>
      </c>
      <c r="K26" s="37">
        <v>10.5</v>
      </c>
      <c r="L26" s="37">
        <v>8.3000000000000007</v>
      </c>
      <c r="M26" s="90"/>
      <c r="N26" s="90"/>
      <c r="O26" s="90"/>
      <c r="P26" s="90"/>
      <c r="Q26" s="90"/>
    </row>
    <row r="27" spans="1:17" ht="15" customHeight="1" x14ac:dyDescent="0.25">
      <c r="A27" s="35" t="s">
        <v>60</v>
      </c>
      <c r="B27" s="37">
        <v>49.4</v>
      </c>
      <c r="C27" s="37">
        <v>3.3</v>
      </c>
      <c r="D27" s="37">
        <v>17.7</v>
      </c>
      <c r="E27" s="37">
        <v>4.4000000000000004</v>
      </c>
      <c r="F27" s="37">
        <v>0.1</v>
      </c>
      <c r="G27" s="37">
        <v>6.4</v>
      </c>
      <c r="H27" s="37">
        <v>1.8</v>
      </c>
      <c r="I27" s="37">
        <v>5</v>
      </c>
      <c r="J27" s="37">
        <v>1.4</v>
      </c>
      <c r="K27" s="37">
        <v>3</v>
      </c>
      <c r="L27" s="37">
        <v>13.1</v>
      </c>
      <c r="M27" s="90"/>
      <c r="N27" s="90"/>
      <c r="O27" s="90"/>
      <c r="P27" s="90"/>
      <c r="Q27" s="90"/>
    </row>
    <row r="28" spans="1:17" ht="15" customHeight="1" x14ac:dyDescent="0.25">
      <c r="A28" s="35" t="s">
        <v>66</v>
      </c>
      <c r="B28" s="37">
        <v>50.7</v>
      </c>
      <c r="C28" s="37">
        <v>1.5</v>
      </c>
      <c r="D28" s="37">
        <v>11.2</v>
      </c>
      <c r="E28" s="37">
        <v>3.7</v>
      </c>
      <c r="F28" s="37">
        <v>2.2000000000000002</v>
      </c>
      <c r="G28" s="37">
        <v>10.8</v>
      </c>
      <c r="H28" s="37">
        <v>2.2000000000000002</v>
      </c>
      <c r="I28" s="37">
        <v>2.1</v>
      </c>
      <c r="J28" s="37">
        <v>2.2000000000000002</v>
      </c>
      <c r="K28" s="37">
        <v>5.4</v>
      </c>
      <c r="L28" s="37">
        <v>13.8</v>
      </c>
      <c r="M28" s="90"/>
      <c r="N28" s="90"/>
      <c r="O28" s="90"/>
      <c r="P28" s="90"/>
      <c r="Q28" s="90"/>
    </row>
    <row r="29" spans="1:17" ht="15" customHeight="1" x14ac:dyDescent="0.25">
      <c r="A29" s="35" t="s">
        <v>70</v>
      </c>
      <c r="B29" s="37">
        <v>17.8</v>
      </c>
      <c r="C29" s="37">
        <v>1.1000000000000001</v>
      </c>
      <c r="D29" s="37">
        <v>3.6</v>
      </c>
      <c r="E29" s="37">
        <v>2.9</v>
      </c>
      <c r="F29" s="37">
        <v>0.1</v>
      </c>
      <c r="G29" s="37">
        <v>2.1</v>
      </c>
      <c r="H29" s="37">
        <v>0.7</v>
      </c>
      <c r="I29" s="37">
        <v>0.9</v>
      </c>
      <c r="J29" s="37">
        <v>0.9</v>
      </c>
      <c r="K29" s="37">
        <v>0.8</v>
      </c>
      <c r="L29" s="37">
        <v>6.2</v>
      </c>
      <c r="M29" s="90"/>
      <c r="N29" s="90"/>
      <c r="O29" s="90"/>
      <c r="P29" s="90"/>
      <c r="Q29" s="90"/>
    </row>
    <row r="30" spans="1:17" ht="15" customHeight="1" x14ac:dyDescent="0.25">
      <c r="A30" s="35" t="s">
        <v>71</v>
      </c>
      <c r="B30" s="37">
        <v>28.2</v>
      </c>
      <c r="C30" s="37">
        <v>1.5</v>
      </c>
      <c r="D30" s="37">
        <v>4.3</v>
      </c>
      <c r="E30" s="37">
        <v>3.4</v>
      </c>
      <c r="F30" s="37">
        <v>0.2</v>
      </c>
      <c r="G30" s="37">
        <v>8.4</v>
      </c>
      <c r="H30" s="37">
        <v>0.8</v>
      </c>
      <c r="I30" s="37">
        <v>1.3</v>
      </c>
      <c r="J30" s="37">
        <v>1</v>
      </c>
      <c r="K30" s="37">
        <v>2</v>
      </c>
      <c r="L30" s="37">
        <v>8.6</v>
      </c>
      <c r="M30" s="90"/>
      <c r="N30" s="90"/>
      <c r="O30" s="90"/>
      <c r="P30" s="90"/>
      <c r="Q30" s="90"/>
    </row>
    <row r="31" spans="1:17" ht="15" customHeight="1" x14ac:dyDescent="0.25">
      <c r="A31" s="35" t="s">
        <v>77</v>
      </c>
      <c r="B31" s="37">
        <v>22.6</v>
      </c>
      <c r="C31" s="37">
        <v>0.7</v>
      </c>
      <c r="D31" s="37">
        <v>3.4</v>
      </c>
      <c r="E31" s="37">
        <v>1.2</v>
      </c>
      <c r="F31" s="37">
        <v>0.1</v>
      </c>
      <c r="G31" s="37">
        <v>7</v>
      </c>
      <c r="H31" s="37">
        <v>0.1</v>
      </c>
      <c r="I31" s="37">
        <v>5.4</v>
      </c>
      <c r="J31" s="37">
        <v>0.6</v>
      </c>
      <c r="K31" s="37">
        <v>1.5</v>
      </c>
      <c r="L31" s="37">
        <v>6.2</v>
      </c>
      <c r="M31" s="90"/>
      <c r="N31" s="90"/>
      <c r="O31" s="90"/>
      <c r="P31" s="90"/>
      <c r="Q31" s="90"/>
    </row>
    <row r="32" spans="1:17" ht="15" customHeight="1" x14ac:dyDescent="0.25">
      <c r="A32" s="35" t="s">
        <v>83</v>
      </c>
      <c r="B32" s="37">
        <v>96.7</v>
      </c>
      <c r="C32" s="37">
        <v>2.5</v>
      </c>
      <c r="D32" s="37">
        <v>14.3</v>
      </c>
      <c r="E32" s="37">
        <v>8.5</v>
      </c>
      <c r="F32" s="37">
        <v>0.1</v>
      </c>
      <c r="G32" s="37">
        <v>19.3</v>
      </c>
      <c r="H32" s="37" t="s">
        <v>28</v>
      </c>
      <c r="I32" s="37">
        <v>8.5</v>
      </c>
      <c r="J32" s="37">
        <v>1.3</v>
      </c>
      <c r="K32" s="37">
        <v>22.1</v>
      </c>
      <c r="L32" s="37">
        <v>25.8</v>
      </c>
      <c r="M32" s="90"/>
      <c r="N32" s="90"/>
      <c r="O32" s="90"/>
      <c r="P32" s="90"/>
      <c r="Q32" s="90"/>
    </row>
    <row r="33" spans="1:17" ht="15" customHeight="1" x14ac:dyDescent="0.25">
      <c r="A33" s="35" t="s">
        <v>85</v>
      </c>
      <c r="B33" s="37">
        <v>15.5</v>
      </c>
      <c r="C33" s="37">
        <v>0.8</v>
      </c>
      <c r="D33" s="37">
        <v>2.2000000000000002</v>
      </c>
      <c r="E33" s="37">
        <v>3.1</v>
      </c>
      <c r="F33" s="37" t="s">
        <v>256</v>
      </c>
      <c r="G33" s="37">
        <v>4.4000000000000004</v>
      </c>
      <c r="H33" s="37" t="s">
        <v>28</v>
      </c>
      <c r="I33" s="37">
        <v>1.3</v>
      </c>
      <c r="J33" s="37">
        <v>0.5</v>
      </c>
      <c r="K33" s="37">
        <v>1.3</v>
      </c>
      <c r="L33" s="37">
        <v>6.9</v>
      </c>
      <c r="M33" s="90"/>
      <c r="N33" s="90"/>
      <c r="O33" s="90"/>
      <c r="P33" s="90"/>
      <c r="Q33" s="90"/>
    </row>
    <row r="34" spans="1:17" ht="24" customHeight="1" x14ac:dyDescent="0.25">
      <c r="A34" s="40" t="s">
        <v>114</v>
      </c>
      <c r="B34" s="33" t="s">
        <v>16</v>
      </c>
      <c r="C34" s="33" t="s">
        <v>16</v>
      </c>
      <c r="D34" s="33" t="s">
        <v>16</v>
      </c>
      <c r="E34" s="33" t="s">
        <v>16</v>
      </c>
      <c r="F34" s="33" t="s">
        <v>16</v>
      </c>
      <c r="G34" s="33" t="s">
        <v>16</v>
      </c>
      <c r="H34" s="33" t="s">
        <v>16</v>
      </c>
      <c r="I34" s="33" t="s">
        <v>16</v>
      </c>
      <c r="J34" s="33" t="s">
        <v>16</v>
      </c>
      <c r="K34" s="33" t="s">
        <v>16</v>
      </c>
      <c r="L34" s="33" t="s">
        <v>16</v>
      </c>
      <c r="M34" s="263"/>
      <c r="N34" s="263"/>
      <c r="O34" s="263"/>
      <c r="P34" s="263"/>
      <c r="Q34" s="263"/>
    </row>
    <row r="35" spans="1:17" ht="15" customHeight="1" x14ac:dyDescent="0.25">
      <c r="A35" s="35" t="s">
        <v>115</v>
      </c>
      <c r="B35" s="37">
        <v>28.7</v>
      </c>
      <c r="C35" s="37">
        <v>1.3</v>
      </c>
      <c r="D35" s="37">
        <v>3.5</v>
      </c>
      <c r="E35" s="37">
        <v>5.3</v>
      </c>
      <c r="F35" s="37">
        <v>0.2</v>
      </c>
      <c r="G35" s="37">
        <v>5.5</v>
      </c>
      <c r="H35" s="37">
        <v>2.7</v>
      </c>
      <c r="I35" s="37">
        <v>5</v>
      </c>
      <c r="J35" s="37">
        <v>1.3</v>
      </c>
      <c r="K35" s="37">
        <v>3.2</v>
      </c>
      <c r="L35" s="37">
        <v>6.6</v>
      </c>
      <c r="M35" s="263"/>
      <c r="N35" s="263"/>
      <c r="O35" s="263"/>
      <c r="P35" s="263"/>
      <c r="Q35" s="263"/>
    </row>
    <row r="36" spans="1:17" ht="15" customHeight="1" x14ac:dyDescent="0.25">
      <c r="A36" s="35" t="s">
        <v>116</v>
      </c>
      <c r="B36" s="37">
        <v>37.4</v>
      </c>
      <c r="C36" s="37">
        <v>1.2</v>
      </c>
      <c r="D36" s="37">
        <v>6.2</v>
      </c>
      <c r="E36" s="37">
        <v>6.2</v>
      </c>
      <c r="F36" s="37">
        <v>0.3</v>
      </c>
      <c r="G36" s="37">
        <v>6.6</v>
      </c>
      <c r="H36" s="37">
        <v>2.2000000000000002</v>
      </c>
      <c r="I36" s="37">
        <v>6.8</v>
      </c>
      <c r="J36" s="37">
        <v>1.7</v>
      </c>
      <c r="K36" s="37">
        <v>4.4000000000000004</v>
      </c>
      <c r="L36" s="37">
        <v>7.1</v>
      </c>
      <c r="M36" s="263"/>
      <c r="N36" s="263"/>
      <c r="O36" s="263"/>
      <c r="P36" s="263"/>
      <c r="Q36" s="263"/>
    </row>
    <row r="37" spans="1:17" ht="15" customHeight="1" x14ac:dyDescent="0.25">
      <c r="A37" s="35" t="s">
        <v>117</v>
      </c>
      <c r="B37" s="37">
        <v>40.200000000000003</v>
      </c>
      <c r="C37" s="37">
        <v>1.7</v>
      </c>
      <c r="D37" s="37">
        <v>6.4</v>
      </c>
      <c r="E37" s="37">
        <v>6.9</v>
      </c>
      <c r="F37" s="37">
        <v>0.6</v>
      </c>
      <c r="G37" s="37">
        <v>7.1</v>
      </c>
      <c r="H37" s="37">
        <v>3</v>
      </c>
      <c r="I37" s="37">
        <v>6.5</v>
      </c>
      <c r="J37" s="37">
        <v>1.7</v>
      </c>
      <c r="K37" s="37">
        <v>3.9</v>
      </c>
      <c r="L37" s="37">
        <v>8.1</v>
      </c>
      <c r="M37" s="263"/>
      <c r="N37" s="263"/>
      <c r="O37" s="263"/>
      <c r="P37" s="263"/>
      <c r="Q37" s="263"/>
    </row>
    <row r="38" spans="1:17" ht="15" customHeight="1" x14ac:dyDescent="0.25">
      <c r="A38" s="35" t="s">
        <v>118</v>
      </c>
      <c r="B38" s="37">
        <v>49.2</v>
      </c>
      <c r="C38" s="37">
        <v>2.1</v>
      </c>
      <c r="D38" s="37">
        <v>7.6</v>
      </c>
      <c r="E38" s="37">
        <v>7.4</v>
      </c>
      <c r="F38" s="37">
        <v>0.6</v>
      </c>
      <c r="G38" s="37">
        <v>9</v>
      </c>
      <c r="H38" s="37">
        <v>3.9</v>
      </c>
      <c r="I38" s="37">
        <v>7.9</v>
      </c>
      <c r="J38" s="37">
        <v>2.2999999999999998</v>
      </c>
      <c r="K38" s="37">
        <v>5.9</v>
      </c>
      <c r="L38" s="37">
        <v>9.5</v>
      </c>
      <c r="M38" s="263"/>
      <c r="N38" s="263"/>
      <c r="O38" s="263"/>
      <c r="P38" s="263"/>
      <c r="Q38" s="263"/>
    </row>
    <row r="39" spans="1:17" ht="15" customHeight="1" x14ac:dyDescent="0.25">
      <c r="A39" s="35" t="s">
        <v>119</v>
      </c>
      <c r="B39" s="37">
        <v>55.2</v>
      </c>
      <c r="C39" s="37">
        <v>1.9</v>
      </c>
      <c r="D39" s="37">
        <v>8.4</v>
      </c>
      <c r="E39" s="37">
        <v>9.6</v>
      </c>
      <c r="F39" s="37">
        <v>0.7</v>
      </c>
      <c r="G39" s="37">
        <v>9.5</v>
      </c>
      <c r="H39" s="37">
        <v>5.2</v>
      </c>
      <c r="I39" s="37">
        <v>10</v>
      </c>
      <c r="J39" s="37">
        <v>2.5</v>
      </c>
      <c r="K39" s="37">
        <v>5.9</v>
      </c>
      <c r="L39" s="37">
        <v>9.6</v>
      </c>
      <c r="M39" s="263"/>
      <c r="N39" s="263"/>
      <c r="O39" s="263"/>
      <c r="P39" s="263"/>
      <c r="Q39" s="263"/>
    </row>
    <row r="40" spans="1:17" ht="15" customHeight="1" x14ac:dyDescent="0.25">
      <c r="A40" s="35" t="s">
        <v>120</v>
      </c>
      <c r="B40" s="37">
        <v>53.9</v>
      </c>
      <c r="C40" s="37">
        <v>1.7</v>
      </c>
      <c r="D40" s="37">
        <v>10.1</v>
      </c>
      <c r="E40" s="37">
        <v>9</v>
      </c>
      <c r="F40" s="37">
        <v>0.5</v>
      </c>
      <c r="G40" s="37">
        <v>9</v>
      </c>
      <c r="H40" s="37">
        <v>3.3</v>
      </c>
      <c r="I40" s="37">
        <v>9</v>
      </c>
      <c r="J40" s="37">
        <v>2.2000000000000002</v>
      </c>
      <c r="K40" s="37">
        <v>5.5</v>
      </c>
      <c r="L40" s="37">
        <v>9.1999999999999993</v>
      </c>
      <c r="M40" s="263"/>
      <c r="N40" s="263"/>
      <c r="O40" s="263"/>
      <c r="P40" s="263"/>
      <c r="Q40" s="263"/>
    </row>
    <row r="41" spans="1:17" ht="15" customHeight="1" x14ac:dyDescent="0.25">
      <c r="A41" s="35" t="s">
        <v>121</v>
      </c>
      <c r="B41" s="37">
        <v>55.4</v>
      </c>
      <c r="C41" s="37">
        <v>1.9</v>
      </c>
      <c r="D41" s="37">
        <v>9.4</v>
      </c>
      <c r="E41" s="37">
        <v>8.5</v>
      </c>
      <c r="F41" s="37">
        <v>0.6</v>
      </c>
      <c r="G41" s="37">
        <v>9.4</v>
      </c>
      <c r="H41" s="37">
        <v>4.3</v>
      </c>
      <c r="I41" s="37">
        <v>11.1</v>
      </c>
      <c r="J41" s="37">
        <v>2.2000000000000002</v>
      </c>
      <c r="K41" s="37">
        <v>5.3</v>
      </c>
      <c r="L41" s="37">
        <v>9.6999999999999993</v>
      </c>
      <c r="M41" s="263"/>
      <c r="N41" s="263"/>
      <c r="O41" s="263"/>
      <c r="P41" s="263"/>
      <c r="Q41" s="263"/>
    </row>
    <row r="42" spans="1:17" ht="15" customHeight="1" x14ac:dyDescent="0.25">
      <c r="A42" s="35" t="s">
        <v>122</v>
      </c>
      <c r="B42" s="37">
        <v>52.8</v>
      </c>
      <c r="C42" s="37">
        <v>1.5</v>
      </c>
      <c r="D42" s="37">
        <v>8.9</v>
      </c>
      <c r="E42" s="37">
        <v>8.6999999999999993</v>
      </c>
      <c r="F42" s="37">
        <v>0.5</v>
      </c>
      <c r="G42" s="37">
        <v>9.4</v>
      </c>
      <c r="H42" s="37">
        <v>3.9</v>
      </c>
      <c r="I42" s="37">
        <v>8.8000000000000007</v>
      </c>
      <c r="J42" s="37">
        <v>2</v>
      </c>
      <c r="K42" s="37">
        <v>5.7</v>
      </c>
      <c r="L42" s="37">
        <v>9.5</v>
      </c>
      <c r="M42" s="263"/>
      <c r="N42" s="263"/>
      <c r="O42" s="263"/>
      <c r="P42" s="263"/>
      <c r="Q42" s="263"/>
    </row>
    <row r="43" spans="1:17" ht="15" customHeight="1" x14ac:dyDescent="0.25">
      <c r="A43" s="35" t="s">
        <v>123</v>
      </c>
      <c r="B43" s="37">
        <v>51</v>
      </c>
      <c r="C43" s="37">
        <v>1.5</v>
      </c>
      <c r="D43" s="37">
        <v>8.4</v>
      </c>
      <c r="E43" s="37">
        <v>7.6</v>
      </c>
      <c r="F43" s="37">
        <v>0.4</v>
      </c>
      <c r="G43" s="37">
        <v>8.9</v>
      </c>
      <c r="H43" s="37">
        <v>2.8</v>
      </c>
      <c r="I43" s="37">
        <v>11.7</v>
      </c>
      <c r="J43" s="37">
        <v>2.5</v>
      </c>
      <c r="K43" s="37">
        <v>4.0999999999999996</v>
      </c>
      <c r="L43" s="37">
        <v>9.3000000000000007</v>
      </c>
      <c r="M43" s="263"/>
      <c r="N43" s="263"/>
      <c r="O43" s="263"/>
      <c r="P43" s="263"/>
      <c r="Q43" s="263"/>
    </row>
    <row r="44" spans="1:17" ht="15" customHeight="1" x14ac:dyDescent="0.25">
      <c r="A44" s="35" t="s">
        <v>124</v>
      </c>
      <c r="B44" s="37">
        <v>53.7</v>
      </c>
      <c r="C44" s="37">
        <v>1.5</v>
      </c>
      <c r="D44" s="37">
        <v>8.6</v>
      </c>
      <c r="E44" s="37">
        <v>8.8000000000000007</v>
      </c>
      <c r="F44" s="37">
        <v>0.4</v>
      </c>
      <c r="G44" s="37">
        <v>9</v>
      </c>
      <c r="H44" s="37">
        <v>4.4000000000000004</v>
      </c>
      <c r="I44" s="37">
        <v>10.9</v>
      </c>
      <c r="J44" s="37">
        <v>2.2000000000000002</v>
      </c>
      <c r="K44" s="37">
        <v>4.9000000000000004</v>
      </c>
      <c r="L44" s="37">
        <v>9.6</v>
      </c>
      <c r="M44" s="263"/>
      <c r="N44" s="263"/>
      <c r="O44" s="263"/>
      <c r="P44" s="263"/>
      <c r="Q44" s="263"/>
    </row>
    <row r="45" spans="1:17" ht="24" customHeight="1" x14ac:dyDescent="0.25">
      <c r="A45" s="40" t="s">
        <v>794</v>
      </c>
      <c r="B45" s="33" t="s">
        <v>16</v>
      </c>
      <c r="C45" s="33" t="s">
        <v>16</v>
      </c>
      <c r="D45" s="33" t="s">
        <v>16</v>
      </c>
      <c r="E45" s="33" t="s">
        <v>16</v>
      </c>
      <c r="F45" s="33" t="s">
        <v>16</v>
      </c>
      <c r="G45" s="33" t="s">
        <v>16</v>
      </c>
      <c r="H45" s="33" t="s">
        <v>16</v>
      </c>
      <c r="I45" s="33" t="s">
        <v>16</v>
      </c>
      <c r="J45" s="33" t="s">
        <v>16</v>
      </c>
      <c r="K45" s="33" t="s">
        <v>16</v>
      </c>
      <c r="L45" s="33" t="s">
        <v>16</v>
      </c>
      <c r="M45" s="263"/>
      <c r="N45" s="263"/>
      <c r="O45" s="263"/>
      <c r="P45" s="263"/>
      <c r="Q45" s="263"/>
    </row>
    <row r="46" spans="1:17" ht="15" customHeight="1" x14ac:dyDescent="0.25">
      <c r="A46" s="35" t="s">
        <v>795</v>
      </c>
      <c r="B46" s="37">
        <v>49.2</v>
      </c>
      <c r="C46" s="37">
        <v>2.4</v>
      </c>
      <c r="D46" s="37">
        <v>5.7</v>
      </c>
      <c r="E46" s="37">
        <v>9</v>
      </c>
      <c r="F46" s="37">
        <v>0.4</v>
      </c>
      <c r="G46" s="37">
        <v>8.9</v>
      </c>
      <c r="H46" s="37">
        <v>3.2</v>
      </c>
      <c r="I46" s="37">
        <v>8.9</v>
      </c>
      <c r="J46" s="37">
        <v>1.9</v>
      </c>
      <c r="K46" s="37">
        <v>5.6</v>
      </c>
      <c r="L46" s="37">
        <v>9.4</v>
      </c>
      <c r="M46" s="263"/>
      <c r="N46" s="263"/>
      <c r="O46" s="263"/>
      <c r="P46" s="263"/>
      <c r="Q46" s="263"/>
    </row>
    <row r="47" spans="1:17" ht="15" customHeight="1" x14ac:dyDescent="0.25">
      <c r="A47" s="39" t="s">
        <v>796</v>
      </c>
      <c r="B47" s="37">
        <v>41.1</v>
      </c>
      <c r="C47" s="37">
        <v>2.8</v>
      </c>
      <c r="D47" s="37">
        <v>4</v>
      </c>
      <c r="E47" s="37">
        <v>6.7</v>
      </c>
      <c r="F47" s="37">
        <v>0.4</v>
      </c>
      <c r="G47" s="37">
        <v>7.3</v>
      </c>
      <c r="H47" s="37">
        <v>3.2</v>
      </c>
      <c r="I47" s="37">
        <v>9.5</v>
      </c>
      <c r="J47" s="37">
        <v>1.7</v>
      </c>
      <c r="K47" s="37">
        <v>4.2</v>
      </c>
      <c r="L47" s="37">
        <v>8.8000000000000007</v>
      </c>
      <c r="M47" s="263"/>
      <c r="N47" s="263"/>
      <c r="O47" s="263"/>
      <c r="P47" s="263"/>
      <c r="Q47" s="263"/>
    </row>
    <row r="48" spans="1:17" ht="15" customHeight="1" x14ac:dyDescent="0.25">
      <c r="A48" s="39" t="s">
        <v>797</v>
      </c>
      <c r="B48" s="37">
        <v>52.2</v>
      </c>
      <c r="C48" s="37">
        <v>2.2999999999999998</v>
      </c>
      <c r="D48" s="37">
        <v>6.3</v>
      </c>
      <c r="E48" s="37">
        <v>9.8000000000000007</v>
      </c>
      <c r="F48" s="37">
        <v>0.4</v>
      </c>
      <c r="G48" s="37">
        <v>9.5</v>
      </c>
      <c r="H48" s="37">
        <v>3.1</v>
      </c>
      <c r="I48" s="37">
        <v>8.6</v>
      </c>
      <c r="J48" s="37">
        <v>1.9</v>
      </c>
      <c r="K48" s="37">
        <v>6.1</v>
      </c>
      <c r="L48" s="37">
        <v>9.6</v>
      </c>
      <c r="M48" s="263"/>
      <c r="N48" s="263"/>
      <c r="O48" s="263"/>
      <c r="P48" s="263"/>
      <c r="Q48" s="263"/>
    </row>
    <row r="49" spans="1:23" ht="15" customHeight="1" x14ac:dyDescent="0.25">
      <c r="A49" s="35" t="s">
        <v>798</v>
      </c>
      <c r="B49" s="37">
        <v>45.8</v>
      </c>
      <c r="C49" s="37">
        <v>2.9</v>
      </c>
      <c r="D49" s="37">
        <v>5.7</v>
      </c>
      <c r="E49" s="37">
        <v>7.8</v>
      </c>
      <c r="F49" s="37">
        <v>0.5</v>
      </c>
      <c r="G49" s="37">
        <v>8.5</v>
      </c>
      <c r="H49" s="37">
        <v>3.7</v>
      </c>
      <c r="I49" s="37">
        <v>7.7</v>
      </c>
      <c r="J49" s="37">
        <v>1.9</v>
      </c>
      <c r="K49" s="37">
        <v>4.5999999999999996</v>
      </c>
      <c r="L49" s="37">
        <v>9</v>
      </c>
      <c r="M49" s="263"/>
      <c r="N49" s="263"/>
      <c r="O49" s="263"/>
      <c r="P49" s="263"/>
      <c r="Q49" s="263"/>
      <c r="R49" s="263"/>
      <c r="S49" s="263"/>
      <c r="T49" s="263"/>
      <c r="U49" s="263"/>
      <c r="V49" s="263"/>
      <c r="W49" s="263"/>
    </row>
    <row r="50" spans="1:23" ht="15" customHeight="1" x14ac:dyDescent="0.25">
      <c r="A50" s="39" t="s">
        <v>799</v>
      </c>
      <c r="B50" s="37">
        <v>47.4</v>
      </c>
      <c r="C50" s="37">
        <v>2.9</v>
      </c>
      <c r="D50" s="37">
        <v>5.7</v>
      </c>
      <c r="E50" s="37">
        <v>8.1999999999999993</v>
      </c>
      <c r="F50" s="37">
        <v>0.5</v>
      </c>
      <c r="G50" s="37">
        <v>8.9</v>
      </c>
      <c r="H50" s="37">
        <v>3.5</v>
      </c>
      <c r="I50" s="37">
        <v>8</v>
      </c>
      <c r="J50" s="37">
        <v>1.9</v>
      </c>
      <c r="K50" s="37">
        <v>4.7</v>
      </c>
      <c r="L50" s="37">
        <v>9.4</v>
      </c>
      <c r="M50" s="263"/>
      <c r="N50" s="263"/>
      <c r="O50" s="263"/>
      <c r="P50" s="263"/>
      <c r="Q50" s="263"/>
      <c r="R50" s="263"/>
      <c r="S50" s="263"/>
      <c r="T50" s="263"/>
      <c r="U50" s="263"/>
      <c r="V50" s="263"/>
      <c r="W50" s="263"/>
    </row>
    <row r="51" spans="1:23" ht="15" customHeight="1" x14ac:dyDescent="0.25">
      <c r="A51" s="39" t="s">
        <v>800</v>
      </c>
      <c r="B51" s="37">
        <v>42.5</v>
      </c>
      <c r="C51" s="37">
        <v>3</v>
      </c>
      <c r="D51" s="37">
        <v>5.6</v>
      </c>
      <c r="E51" s="37">
        <v>7</v>
      </c>
      <c r="F51" s="37">
        <v>0.5</v>
      </c>
      <c r="G51" s="37">
        <v>7.9</v>
      </c>
      <c r="H51" s="37">
        <v>4</v>
      </c>
      <c r="I51" s="37">
        <v>7</v>
      </c>
      <c r="J51" s="37">
        <v>1.9</v>
      </c>
      <c r="K51" s="37">
        <v>4.5</v>
      </c>
      <c r="L51" s="37">
        <v>8.1</v>
      </c>
      <c r="M51" s="263"/>
      <c r="N51" s="263"/>
      <c r="O51" s="263"/>
      <c r="P51" s="263"/>
      <c r="Q51" s="263"/>
      <c r="R51" s="263"/>
      <c r="S51" s="263"/>
      <c r="T51" s="263"/>
      <c r="U51" s="263"/>
      <c r="V51" s="263"/>
      <c r="W51" s="263"/>
    </row>
    <row r="52" spans="1:23" ht="15" customHeight="1" x14ac:dyDescent="0.25">
      <c r="A52" s="35" t="s">
        <v>801</v>
      </c>
      <c r="B52" s="37">
        <v>54.8</v>
      </c>
      <c r="C52" s="37">
        <v>1.2</v>
      </c>
      <c r="D52" s="37">
        <v>12.3</v>
      </c>
      <c r="E52" s="37">
        <v>8.1</v>
      </c>
      <c r="F52" s="37">
        <v>0.6</v>
      </c>
      <c r="G52" s="37">
        <v>9.1</v>
      </c>
      <c r="H52" s="37">
        <v>3.8</v>
      </c>
      <c r="I52" s="37">
        <v>9.6999999999999993</v>
      </c>
      <c r="J52" s="37">
        <v>2.2999999999999998</v>
      </c>
      <c r="K52" s="37">
        <v>5</v>
      </c>
      <c r="L52" s="37">
        <v>9.3000000000000007</v>
      </c>
      <c r="M52" s="263"/>
      <c r="N52" s="263"/>
      <c r="O52" s="263"/>
      <c r="P52" s="263"/>
      <c r="Q52" s="263"/>
      <c r="R52" s="263"/>
      <c r="S52" s="263"/>
      <c r="T52" s="263"/>
      <c r="U52" s="263"/>
      <c r="V52" s="263"/>
      <c r="W52" s="263"/>
    </row>
    <row r="53" spans="1:23" ht="15" customHeight="1" x14ac:dyDescent="0.25">
      <c r="A53" s="39" t="s">
        <v>802</v>
      </c>
      <c r="B53" s="37">
        <v>55.6</v>
      </c>
      <c r="C53" s="37">
        <v>1.2</v>
      </c>
      <c r="D53" s="37">
        <v>12</v>
      </c>
      <c r="E53" s="37">
        <v>8.1</v>
      </c>
      <c r="F53" s="37">
        <v>0.6</v>
      </c>
      <c r="G53" s="37">
        <v>8.8000000000000007</v>
      </c>
      <c r="H53" s="37">
        <v>3.3</v>
      </c>
      <c r="I53" s="37">
        <v>10.1</v>
      </c>
      <c r="J53" s="37">
        <v>2.5</v>
      </c>
      <c r="K53" s="37">
        <v>5.4</v>
      </c>
      <c r="L53" s="37">
        <v>9.1999999999999993</v>
      </c>
      <c r="M53" s="263"/>
      <c r="N53" s="263"/>
      <c r="O53" s="263"/>
      <c r="P53" s="263"/>
      <c r="Q53" s="263"/>
      <c r="R53" s="263"/>
      <c r="S53" s="263"/>
      <c r="T53" s="263"/>
      <c r="U53" s="263"/>
      <c r="V53" s="263"/>
      <c r="W53" s="263"/>
    </row>
    <row r="54" spans="1:23" ht="15" customHeight="1" x14ac:dyDescent="0.25">
      <c r="A54" s="39" t="s">
        <v>803</v>
      </c>
      <c r="B54" s="37">
        <v>49.9</v>
      </c>
      <c r="C54" s="37">
        <v>1.7</v>
      </c>
      <c r="D54" s="37">
        <v>9</v>
      </c>
      <c r="E54" s="37">
        <v>7.8</v>
      </c>
      <c r="F54" s="37">
        <v>0.5</v>
      </c>
      <c r="G54" s="37">
        <v>8.5</v>
      </c>
      <c r="H54" s="37">
        <v>4.4000000000000004</v>
      </c>
      <c r="I54" s="37">
        <v>9.1999999999999993</v>
      </c>
      <c r="J54" s="37">
        <v>2.5</v>
      </c>
      <c r="K54" s="37">
        <v>4.0999999999999996</v>
      </c>
      <c r="L54" s="37">
        <v>8.5</v>
      </c>
      <c r="M54" s="263"/>
      <c r="N54" s="263"/>
      <c r="O54" s="263"/>
      <c r="P54" s="263"/>
      <c r="Q54" s="263"/>
      <c r="R54" s="263"/>
      <c r="S54" s="263"/>
      <c r="T54" s="263"/>
      <c r="U54" s="263"/>
      <c r="V54" s="263"/>
      <c r="W54" s="263"/>
    </row>
    <row r="55" spans="1:23" ht="15" customHeight="1" x14ac:dyDescent="0.25">
      <c r="A55" s="39" t="s">
        <v>804</v>
      </c>
      <c r="B55" s="37">
        <v>55.7</v>
      </c>
      <c r="C55" s="37">
        <v>1.1000000000000001</v>
      </c>
      <c r="D55" s="37">
        <v>14.4</v>
      </c>
      <c r="E55" s="37">
        <v>8.1999999999999993</v>
      </c>
      <c r="F55" s="37">
        <v>0.6</v>
      </c>
      <c r="G55" s="37">
        <v>9.6999999999999993</v>
      </c>
      <c r="H55" s="37">
        <v>4.5999999999999996</v>
      </c>
      <c r="I55" s="37">
        <v>9.1999999999999993</v>
      </c>
      <c r="J55" s="37">
        <v>1.9</v>
      </c>
      <c r="K55" s="37">
        <v>4.8</v>
      </c>
      <c r="L55" s="37">
        <v>9.8000000000000007</v>
      </c>
      <c r="M55" s="263"/>
      <c r="N55" s="263"/>
      <c r="O55" s="263"/>
      <c r="P55" s="263"/>
      <c r="Q55" s="263"/>
      <c r="R55" s="263"/>
      <c r="S55" s="263"/>
      <c r="T55" s="263"/>
      <c r="U55" s="263"/>
      <c r="V55" s="263"/>
      <c r="W55" s="263"/>
    </row>
    <row r="56" spans="1:23" ht="15" customHeight="1" x14ac:dyDescent="0.25">
      <c r="A56" s="35" t="s">
        <v>805</v>
      </c>
      <c r="B56" s="37">
        <v>46.1</v>
      </c>
      <c r="C56" s="37">
        <v>1.3</v>
      </c>
      <c r="D56" s="37">
        <v>5.7</v>
      </c>
      <c r="E56" s="37">
        <v>7.8</v>
      </c>
      <c r="F56" s="37">
        <v>0.5</v>
      </c>
      <c r="G56" s="37">
        <v>7.8</v>
      </c>
      <c r="H56" s="37">
        <v>4</v>
      </c>
      <c r="I56" s="37">
        <v>9.6999999999999993</v>
      </c>
      <c r="J56" s="37">
        <v>2.2999999999999998</v>
      </c>
      <c r="K56" s="37">
        <v>5.6</v>
      </c>
      <c r="L56" s="37">
        <v>8.4</v>
      </c>
      <c r="M56" s="263"/>
      <c r="N56" s="263"/>
      <c r="O56" s="263"/>
      <c r="P56" s="263"/>
      <c r="Q56" s="263"/>
      <c r="R56" s="263"/>
      <c r="S56" s="263"/>
      <c r="T56" s="263"/>
      <c r="U56" s="263"/>
      <c r="V56" s="263"/>
      <c r="W56" s="263"/>
    </row>
    <row r="57" spans="1:23" ht="15" customHeight="1" x14ac:dyDescent="0.25">
      <c r="A57" s="39" t="s">
        <v>99</v>
      </c>
      <c r="B57" s="37">
        <v>47.5</v>
      </c>
      <c r="C57" s="37">
        <v>1.7</v>
      </c>
      <c r="D57" s="37">
        <v>7.1</v>
      </c>
      <c r="E57" s="37">
        <v>8.3000000000000007</v>
      </c>
      <c r="F57" s="37">
        <v>0.5</v>
      </c>
      <c r="G57" s="37">
        <v>8.1</v>
      </c>
      <c r="H57" s="37">
        <v>3.5</v>
      </c>
      <c r="I57" s="37">
        <v>8.3000000000000007</v>
      </c>
      <c r="J57" s="37">
        <v>2.9</v>
      </c>
      <c r="K57" s="37">
        <v>5</v>
      </c>
      <c r="L57" s="37">
        <v>8.5</v>
      </c>
      <c r="M57" s="263"/>
      <c r="N57" s="263"/>
      <c r="O57" s="263"/>
      <c r="P57" s="263"/>
      <c r="Q57" s="263"/>
      <c r="R57" s="263"/>
      <c r="S57" s="263"/>
      <c r="T57" s="263"/>
      <c r="U57" s="263"/>
      <c r="V57" s="263"/>
      <c r="W57" s="263"/>
    </row>
    <row r="58" spans="1:23" ht="15" customHeight="1" x14ac:dyDescent="0.25">
      <c r="A58" s="39" t="s">
        <v>100</v>
      </c>
      <c r="B58" s="37">
        <v>45.5</v>
      </c>
      <c r="C58" s="37">
        <v>1.2</v>
      </c>
      <c r="D58" s="37">
        <v>5.3</v>
      </c>
      <c r="E58" s="37">
        <v>7.6</v>
      </c>
      <c r="F58" s="37">
        <v>0.5</v>
      </c>
      <c r="G58" s="37">
        <v>7.7</v>
      </c>
      <c r="H58" s="37">
        <v>4.3</v>
      </c>
      <c r="I58" s="37">
        <v>10.3</v>
      </c>
      <c r="J58" s="37">
        <v>2.2000000000000002</v>
      </c>
      <c r="K58" s="37">
        <v>5.8</v>
      </c>
      <c r="L58" s="37">
        <v>8.4</v>
      </c>
      <c r="M58" s="263"/>
      <c r="N58" s="90">
        <f>MAX(N60:N64)-MIN(N60:N64)</f>
        <v>1.4117647058823528</v>
      </c>
      <c r="O58" s="90">
        <f t="shared" ref="O58:U58" si="0">MAX(O60:O64)-MIN(O60:O64)</f>
        <v>1.8192771084337349</v>
      </c>
      <c r="P58" s="90">
        <f t="shared" si="0"/>
        <v>0.35802469135802462</v>
      </c>
      <c r="Q58" s="90">
        <f t="shared" si="0"/>
        <v>0.39999999999999991</v>
      </c>
      <c r="R58" s="90">
        <f t="shared" si="0"/>
        <v>0.27586206896551735</v>
      </c>
      <c r="S58" s="90">
        <f t="shared" si="0"/>
        <v>0.45945945945945943</v>
      </c>
      <c r="T58" s="90">
        <f t="shared" si="0"/>
        <v>0.21978021978021989</v>
      </c>
      <c r="U58" s="90">
        <f t="shared" si="0"/>
        <v>0.19047619047619047</v>
      </c>
      <c r="V58" s="90">
        <f t="shared" ref="V58:W58" si="1">MAX(V60:V64)-MIN(V60:V64)</f>
        <v>0.5576923076923076</v>
      </c>
      <c r="W58" s="90">
        <f t="shared" si="1"/>
        <v>0.29670329670329676</v>
      </c>
    </row>
    <row r="59" spans="1:23" ht="24" customHeight="1" x14ac:dyDescent="0.25">
      <c r="A59" s="40" t="s">
        <v>806</v>
      </c>
      <c r="B59" s="33" t="s">
        <v>16</v>
      </c>
      <c r="C59" s="33" t="s">
        <v>16</v>
      </c>
      <c r="D59" s="33" t="s">
        <v>16</v>
      </c>
      <c r="E59" s="33" t="s">
        <v>16</v>
      </c>
      <c r="F59" s="33" t="s">
        <v>16</v>
      </c>
      <c r="G59" s="33" t="s">
        <v>16</v>
      </c>
      <c r="H59" s="33" t="s">
        <v>16</v>
      </c>
      <c r="I59" s="33" t="s">
        <v>16</v>
      </c>
      <c r="J59" s="33" t="s">
        <v>16</v>
      </c>
      <c r="K59" s="33" t="s">
        <v>16</v>
      </c>
      <c r="L59" s="33" t="s">
        <v>16</v>
      </c>
      <c r="M59" s="263"/>
      <c r="N59" s="263"/>
      <c r="O59" s="263"/>
      <c r="P59" s="263"/>
      <c r="Q59" s="263"/>
      <c r="R59" s="263"/>
      <c r="S59" s="263"/>
      <c r="T59" s="263"/>
      <c r="U59" s="263"/>
      <c r="V59" s="263"/>
      <c r="W59" s="263"/>
    </row>
    <row r="60" spans="1:23" ht="15" customHeight="1" x14ac:dyDescent="0.25">
      <c r="A60" s="35" t="s">
        <v>126</v>
      </c>
      <c r="B60" s="37">
        <v>45.7</v>
      </c>
      <c r="C60" s="37">
        <v>2.9</v>
      </c>
      <c r="D60" s="37">
        <v>4.8</v>
      </c>
      <c r="E60" s="37">
        <v>8.1</v>
      </c>
      <c r="F60" s="37">
        <v>0.5</v>
      </c>
      <c r="G60" s="37">
        <v>8.4</v>
      </c>
      <c r="H60" s="37">
        <v>3.3</v>
      </c>
      <c r="I60" s="37">
        <v>8.6</v>
      </c>
      <c r="J60" s="37">
        <v>2</v>
      </c>
      <c r="K60" s="37">
        <v>4.8</v>
      </c>
      <c r="L60" s="37">
        <v>9</v>
      </c>
      <c r="M60" s="263"/>
      <c r="N60" s="90">
        <f t="shared" ref="N60:O64" si="2">C60/C$5</f>
        <v>1.7058823529411764</v>
      </c>
      <c r="O60" s="90">
        <f t="shared" si="2"/>
        <v>0.57831325301204817</v>
      </c>
      <c r="P60" s="90">
        <f t="shared" ref="P60:W64" si="3">E60/E$5</f>
        <v>1</v>
      </c>
      <c r="Q60" s="90">
        <f t="shared" si="3"/>
        <v>1</v>
      </c>
      <c r="R60" s="90">
        <f t="shared" si="3"/>
        <v>0.9655172413793105</v>
      </c>
      <c r="S60" s="90">
        <f t="shared" si="3"/>
        <v>0.89189189189189177</v>
      </c>
      <c r="T60" s="90">
        <f t="shared" si="3"/>
        <v>0.94505494505494503</v>
      </c>
      <c r="U60" s="90">
        <f t="shared" si="3"/>
        <v>0.95238095238095233</v>
      </c>
      <c r="V60" s="90">
        <f t="shared" si="3"/>
        <v>0.92307692307692302</v>
      </c>
      <c r="W60" s="90">
        <f t="shared" si="3"/>
        <v>0.98901098901098905</v>
      </c>
    </row>
    <row r="61" spans="1:23" ht="15" customHeight="1" x14ac:dyDescent="0.25">
      <c r="A61" s="41" t="s">
        <v>128</v>
      </c>
      <c r="B61" s="37">
        <v>51.7</v>
      </c>
      <c r="C61" s="37">
        <v>1.8</v>
      </c>
      <c r="D61" s="37">
        <v>8.6999999999999993</v>
      </c>
      <c r="E61" s="37">
        <v>8.1999999999999993</v>
      </c>
      <c r="F61" s="37">
        <v>0.5</v>
      </c>
      <c r="G61" s="37">
        <v>9</v>
      </c>
      <c r="H61" s="37">
        <v>3.9</v>
      </c>
      <c r="I61" s="37">
        <v>9</v>
      </c>
      <c r="J61" s="37">
        <v>2.4</v>
      </c>
      <c r="K61" s="37">
        <v>5.4</v>
      </c>
      <c r="L61" s="37">
        <v>9.1</v>
      </c>
      <c r="M61" s="263"/>
      <c r="N61" s="90">
        <f t="shared" si="2"/>
        <v>1.0588235294117647</v>
      </c>
      <c r="O61" s="90">
        <f t="shared" si="2"/>
        <v>1.0481927710843373</v>
      </c>
      <c r="P61" s="90">
        <f t="shared" si="3"/>
        <v>1.0123456790123457</v>
      </c>
      <c r="Q61" s="90">
        <f t="shared" si="3"/>
        <v>1</v>
      </c>
      <c r="R61" s="90">
        <f t="shared" si="3"/>
        <v>1.0344827586206897</v>
      </c>
      <c r="S61" s="90">
        <f t="shared" si="3"/>
        <v>1.0540540540540539</v>
      </c>
      <c r="T61" s="90">
        <f t="shared" si="3"/>
        <v>0.98901098901098905</v>
      </c>
      <c r="U61" s="90">
        <f t="shared" si="3"/>
        <v>1.1428571428571428</v>
      </c>
      <c r="V61" s="90">
        <f t="shared" si="3"/>
        <v>1.0384615384615385</v>
      </c>
      <c r="W61" s="90">
        <f t="shared" si="3"/>
        <v>1</v>
      </c>
    </row>
    <row r="62" spans="1:23" ht="15" customHeight="1" x14ac:dyDescent="0.25">
      <c r="A62" s="41" t="s">
        <v>129</v>
      </c>
      <c r="B62" s="37">
        <v>44.3</v>
      </c>
      <c r="C62" s="37">
        <v>0.5</v>
      </c>
      <c r="D62" s="37">
        <v>7.3</v>
      </c>
      <c r="E62" s="37">
        <v>6.8</v>
      </c>
      <c r="F62" s="37">
        <v>0.4</v>
      </c>
      <c r="G62" s="37">
        <v>7.4</v>
      </c>
      <c r="H62" s="37">
        <v>4.7</v>
      </c>
      <c r="I62" s="37">
        <v>9.4</v>
      </c>
      <c r="J62" s="37">
        <v>2.1</v>
      </c>
      <c r="K62" s="37">
        <v>5.6</v>
      </c>
      <c r="L62" s="37">
        <v>8</v>
      </c>
      <c r="M62" s="263"/>
      <c r="N62" s="90">
        <f t="shared" si="2"/>
        <v>0.29411764705882354</v>
      </c>
      <c r="O62" s="90">
        <f t="shared" si="2"/>
        <v>0.87951807228915657</v>
      </c>
      <c r="P62" s="90">
        <f t="shared" si="3"/>
        <v>0.83950617283950624</v>
      </c>
      <c r="Q62" s="90">
        <f t="shared" si="3"/>
        <v>0.8</v>
      </c>
      <c r="R62" s="90">
        <f t="shared" si="3"/>
        <v>0.85057471264367823</v>
      </c>
      <c r="S62" s="90">
        <f t="shared" si="3"/>
        <v>1.2702702702702702</v>
      </c>
      <c r="T62" s="90">
        <f t="shared" si="3"/>
        <v>1.0329670329670331</v>
      </c>
      <c r="U62" s="90">
        <f t="shared" si="3"/>
        <v>1</v>
      </c>
      <c r="V62" s="90">
        <f t="shared" si="3"/>
        <v>1.0769230769230769</v>
      </c>
      <c r="W62" s="90">
        <f t="shared" si="3"/>
        <v>0.87912087912087911</v>
      </c>
    </row>
    <row r="63" spans="1:23" ht="15" customHeight="1" x14ac:dyDescent="0.25">
      <c r="A63" s="35" t="s">
        <v>130</v>
      </c>
      <c r="B63" s="37">
        <v>62.7</v>
      </c>
      <c r="C63" s="37">
        <v>0.5</v>
      </c>
      <c r="D63" s="37">
        <v>18.3</v>
      </c>
      <c r="E63" s="37">
        <v>8.9</v>
      </c>
      <c r="F63" s="37">
        <v>0.6</v>
      </c>
      <c r="G63" s="37">
        <v>9.8000000000000007</v>
      </c>
      <c r="H63" s="37">
        <v>4</v>
      </c>
      <c r="I63" s="37">
        <v>10.6</v>
      </c>
      <c r="J63" s="37">
        <v>2.2000000000000002</v>
      </c>
      <c r="K63" s="37">
        <v>4.7</v>
      </c>
      <c r="L63" s="37">
        <v>10</v>
      </c>
      <c r="M63" s="263"/>
      <c r="N63" s="90">
        <f t="shared" si="2"/>
        <v>0.29411764705882354</v>
      </c>
      <c r="O63" s="90">
        <f t="shared" si="2"/>
        <v>2.2048192771084336</v>
      </c>
      <c r="P63" s="90">
        <f t="shared" si="3"/>
        <v>1.0987654320987654</v>
      </c>
      <c r="Q63" s="90">
        <f t="shared" si="3"/>
        <v>1.2</v>
      </c>
      <c r="R63" s="90">
        <f t="shared" si="3"/>
        <v>1.1264367816091956</v>
      </c>
      <c r="S63" s="90">
        <f t="shared" si="3"/>
        <v>1.0810810810810809</v>
      </c>
      <c r="T63" s="90">
        <f t="shared" si="3"/>
        <v>1.1648351648351649</v>
      </c>
      <c r="U63" s="90">
        <f t="shared" si="3"/>
        <v>1.0476190476190477</v>
      </c>
      <c r="V63" s="90">
        <f t="shared" si="3"/>
        <v>0.90384615384615385</v>
      </c>
      <c r="W63" s="90">
        <f t="shared" si="3"/>
        <v>1.098901098901099</v>
      </c>
    </row>
    <row r="64" spans="1:23" ht="15" customHeight="1" x14ac:dyDescent="0.25">
      <c r="A64" s="41" t="s">
        <v>131</v>
      </c>
      <c r="B64" s="37">
        <v>49.8</v>
      </c>
      <c r="C64" s="37">
        <v>1.6</v>
      </c>
      <c r="D64" s="37">
        <v>3.2</v>
      </c>
      <c r="E64" s="37">
        <v>9.6999999999999993</v>
      </c>
      <c r="F64" s="37">
        <v>0.5</v>
      </c>
      <c r="G64" s="37">
        <v>8.6999999999999993</v>
      </c>
      <c r="H64" s="37">
        <v>3</v>
      </c>
      <c r="I64" s="37">
        <v>8.9</v>
      </c>
      <c r="J64" s="37">
        <v>2.1</v>
      </c>
      <c r="K64" s="37">
        <v>7.6</v>
      </c>
      <c r="L64" s="37">
        <v>10.7</v>
      </c>
      <c r="M64" s="263"/>
      <c r="N64" s="90">
        <f t="shared" si="2"/>
        <v>0.94117647058823539</v>
      </c>
      <c r="O64" s="90">
        <f t="shared" si="2"/>
        <v>0.38554216867469876</v>
      </c>
      <c r="P64" s="90">
        <f t="shared" si="3"/>
        <v>1.1975308641975309</v>
      </c>
      <c r="Q64" s="90">
        <f t="shared" si="3"/>
        <v>1</v>
      </c>
      <c r="R64" s="90">
        <f t="shared" si="3"/>
        <v>1</v>
      </c>
      <c r="S64" s="90">
        <f t="shared" si="3"/>
        <v>0.81081081081081074</v>
      </c>
      <c r="T64" s="90">
        <f t="shared" si="3"/>
        <v>0.9780219780219781</v>
      </c>
      <c r="U64" s="90">
        <f t="shared" si="3"/>
        <v>1</v>
      </c>
      <c r="V64" s="90">
        <f t="shared" si="3"/>
        <v>1.4615384615384615</v>
      </c>
      <c r="W64" s="90">
        <f t="shared" si="3"/>
        <v>1.1758241758241759</v>
      </c>
    </row>
    <row r="65" spans="1:12" ht="24" customHeight="1" x14ac:dyDescent="0.25">
      <c r="A65" s="40" t="s">
        <v>132</v>
      </c>
      <c r="B65" s="33" t="s">
        <v>16</v>
      </c>
      <c r="C65" s="33" t="s">
        <v>16</v>
      </c>
      <c r="D65" s="33" t="s">
        <v>16</v>
      </c>
      <c r="E65" s="33" t="s">
        <v>16</v>
      </c>
      <c r="F65" s="33" t="s">
        <v>16</v>
      </c>
      <c r="G65" s="33" t="s">
        <v>16</v>
      </c>
      <c r="H65" s="33" t="s">
        <v>16</v>
      </c>
      <c r="I65" s="33" t="s">
        <v>16</v>
      </c>
      <c r="J65" s="33" t="s">
        <v>16</v>
      </c>
      <c r="K65" s="33" t="s">
        <v>16</v>
      </c>
      <c r="L65" s="33" t="s">
        <v>16</v>
      </c>
    </row>
    <row r="66" spans="1:12" ht="15" customHeight="1" x14ac:dyDescent="0.25">
      <c r="A66" s="35" t="s">
        <v>133</v>
      </c>
      <c r="B66" s="37">
        <v>48.9</v>
      </c>
      <c r="C66" s="37">
        <v>1.8</v>
      </c>
      <c r="D66" s="37">
        <v>7.7</v>
      </c>
      <c r="E66" s="37">
        <v>6.7</v>
      </c>
      <c r="F66" s="37">
        <v>0.6</v>
      </c>
      <c r="G66" s="37">
        <v>8.6999999999999993</v>
      </c>
      <c r="H66" s="37">
        <v>5.7</v>
      </c>
      <c r="I66" s="37">
        <v>14</v>
      </c>
      <c r="J66" s="37">
        <v>1.8</v>
      </c>
      <c r="K66" s="37">
        <v>3.8</v>
      </c>
      <c r="L66" s="37">
        <v>8</v>
      </c>
    </row>
    <row r="67" spans="1:12" ht="15" customHeight="1" x14ac:dyDescent="0.25">
      <c r="A67" s="41" t="s">
        <v>134</v>
      </c>
      <c r="B67" s="37">
        <v>44.4</v>
      </c>
      <c r="C67" s="37">
        <v>1.7</v>
      </c>
      <c r="D67" s="37">
        <v>6.7</v>
      </c>
      <c r="E67" s="37">
        <v>7.1</v>
      </c>
      <c r="F67" s="37">
        <v>0.4</v>
      </c>
      <c r="G67" s="37">
        <v>7.8</v>
      </c>
      <c r="H67" s="37">
        <v>2.2000000000000002</v>
      </c>
      <c r="I67" s="37">
        <v>7.4</v>
      </c>
      <c r="J67" s="37">
        <v>1.9</v>
      </c>
      <c r="K67" s="37">
        <v>5.3</v>
      </c>
      <c r="L67" s="37">
        <v>8</v>
      </c>
    </row>
    <row r="68" spans="1:12" ht="15" customHeight="1" x14ac:dyDescent="0.25">
      <c r="A68" s="41" t="s">
        <v>135</v>
      </c>
      <c r="B68" s="37">
        <v>46.1</v>
      </c>
      <c r="C68" s="37">
        <v>1.8</v>
      </c>
      <c r="D68" s="37">
        <v>7.4</v>
      </c>
      <c r="E68" s="37">
        <v>8.1</v>
      </c>
      <c r="F68" s="37">
        <v>0.4</v>
      </c>
      <c r="G68" s="37">
        <v>7.9</v>
      </c>
      <c r="H68" s="37">
        <v>3.1</v>
      </c>
      <c r="I68" s="37">
        <v>5.3</v>
      </c>
      <c r="J68" s="37">
        <v>2.2999999999999998</v>
      </c>
      <c r="K68" s="37">
        <v>5.5</v>
      </c>
      <c r="L68" s="37">
        <v>9.1999999999999993</v>
      </c>
    </row>
    <row r="69" spans="1:12" ht="15" customHeight="1" x14ac:dyDescent="0.25">
      <c r="A69" s="35" t="s">
        <v>136</v>
      </c>
      <c r="B69" s="37">
        <v>58.7</v>
      </c>
      <c r="C69" s="37">
        <v>1.7</v>
      </c>
      <c r="D69" s="37">
        <v>11.8</v>
      </c>
      <c r="E69" s="37">
        <v>11.7</v>
      </c>
      <c r="F69" s="37">
        <v>0.5</v>
      </c>
      <c r="G69" s="37">
        <v>9.6</v>
      </c>
      <c r="H69" s="37">
        <v>2.8</v>
      </c>
      <c r="I69" s="37">
        <v>4</v>
      </c>
      <c r="J69" s="37">
        <v>2.9</v>
      </c>
      <c r="K69" s="37">
        <v>7.2</v>
      </c>
      <c r="L69" s="37">
        <v>12.2</v>
      </c>
    </row>
    <row r="70" spans="1:12" ht="15" customHeight="1" x14ac:dyDescent="0.25">
      <c r="A70" s="41" t="s">
        <v>137</v>
      </c>
      <c r="B70" s="37">
        <v>62.3</v>
      </c>
      <c r="C70" s="37">
        <v>1.3</v>
      </c>
      <c r="D70" s="37">
        <v>12.2</v>
      </c>
      <c r="E70" s="37">
        <v>12.6</v>
      </c>
      <c r="F70" s="37">
        <v>0.3</v>
      </c>
      <c r="G70" s="37">
        <v>10.199999999999999</v>
      </c>
      <c r="H70" s="37">
        <v>2</v>
      </c>
      <c r="I70" s="37">
        <v>3.1</v>
      </c>
      <c r="J70" s="37">
        <v>3.5</v>
      </c>
      <c r="K70" s="37">
        <v>7.7</v>
      </c>
      <c r="L70" s="37">
        <v>12.4</v>
      </c>
    </row>
    <row r="71" spans="1:12" ht="33.950000000000003" customHeight="1" x14ac:dyDescent="0.25">
      <c r="A71" s="40" t="s">
        <v>138</v>
      </c>
      <c r="B71" s="33" t="s">
        <v>16</v>
      </c>
      <c r="C71" s="33" t="s">
        <v>16</v>
      </c>
      <c r="D71" s="33" t="s">
        <v>16</v>
      </c>
      <c r="E71" s="33" t="s">
        <v>16</v>
      </c>
      <c r="F71" s="33" t="s">
        <v>16</v>
      </c>
      <c r="G71" s="33" t="s">
        <v>16</v>
      </c>
      <c r="H71" s="33" t="s">
        <v>16</v>
      </c>
      <c r="I71" s="33" t="s">
        <v>16</v>
      </c>
      <c r="J71" s="33" t="s">
        <v>16</v>
      </c>
      <c r="K71" s="33" t="s">
        <v>16</v>
      </c>
      <c r="L71" s="33" t="s">
        <v>16</v>
      </c>
    </row>
    <row r="72" spans="1:12" ht="15" customHeight="1" x14ac:dyDescent="0.25">
      <c r="A72" s="35" t="s">
        <v>139</v>
      </c>
      <c r="B72" s="37">
        <v>57.6</v>
      </c>
      <c r="C72" s="37">
        <v>1.7</v>
      </c>
      <c r="D72" s="37">
        <v>10.8</v>
      </c>
      <c r="E72" s="37">
        <v>11</v>
      </c>
      <c r="F72" s="37">
        <v>0.4</v>
      </c>
      <c r="G72" s="37">
        <v>9.6</v>
      </c>
      <c r="H72" s="37">
        <v>2.2000000000000002</v>
      </c>
      <c r="I72" s="37">
        <v>4.5999999999999996</v>
      </c>
      <c r="J72" s="37">
        <v>2.6</v>
      </c>
      <c r="K72" s="37">
        <v>7.5</v>
      </c>
      <c r="L72" s="37">
        <v>11.2</v>
      </c>
    </row>
    <row r="73" spans="1:12" ht="15" customHeight="1" x14ac:dyDescent="0.25">
      <c r="A73" s="41" t="s">
        <v>140</v>
      </c>
      <c r="B73" s="37" t="s">
        <v>16</v>
      </c>
      <c r="C73" s="37" t="s">
        <v>16</v>
      </c>
      <c r="D73" s="37" t="s">
        <v>16</v>
      </c>
      <c r="E73" s="37" t="s">
        <v>16</v>
      </c>
      <c r="F73" s="37" t="s">
        <v>16</v>
      </c>
      <c r="G73" s="37" t="s">
        <v>16</v>
      </c>
      <c r="H73" s="37" t="s">
        <v>16</v>
      </c>
      <c r="I73" s="37" t="s">
        <v>16</v>
      </c>
      <c r="J73" s="37" t="s">
        <v>16</v>
      </c>
      <c r="K73" s="37" t="s">
        <v>16</v>
      </c>
      <c r="L73" s="37" t="s">
        <v>16</v>
      </c>
    </row>
    <row r="74" spans="1:12" ht="15" customHeight="1" x14ac:dyDescent="0.25">
      <c r="A74" s="39" t="s">
        <v>133</v>
      </c>
      <c r="B74" s="37">
        <v>45</v>
      </c>
      <c r="C74" s="37">
        <v>1.7</v>
      </c>
      <c r="D74" s="37">
        <v>7.2</v>
      </c>
      <c r="E74" s="37">
        <v>8.6</v>
      </c>
      <c r="F74" s="37">
        <v>0.4</v>
      </c>
      <c r="G74" s="37">
        <v>7.9</v>
      </c>
      <c r="H74" s="37">
        <v>1.6</v>
      </c>
      <c r="I74" s="37">
        <v>5</v>
      </c>
      <c r="J74" s="37">
        <v>2.2000000000000002</v>
      </c>
      <c r="K74" s="37">
        <v>5.3</v>
      </c>
      <c r="L74" s="37">
        <v>8.5</v>
      </c>
    </row>
    <row r="75" spans="1:12" ht="15" customHeight="1" x14ac:dyDescent="0.25">
      <c r="A75" s="39" t="s">
        <v>141</v>
      </c>
      <c r="B75" s="37">
        <v>59.7</v>
      </c>
      <c r="C75" s="37">
        <v>1.8</v>
      </c>
      <c r="D75" s="37">
        <v>10.8</v>
      </c>
      <c r="E75" s="37">
        <v>11</v>
      </c>
      <c r="F75" s="37">
        <v>0.5</v>
      </c>
      <c r="G75" s="37">
        <v>9.6999999999999993</v>
      </c>
      <c r="H75" s="37">
        <v>2.4</v>
      </c>
      <c r="I75" s="37">
        <v>4.4000000000000004</v>
      </c>
      <c r="J75" s="37">
        <v>2.6</v>
      </c>
      <c r="K75" s="37">
        <v>9.6</v>
      </c>
      <c r="L75" s="37">
        <v>11.6</v>
      </c>
    </row>
    <row r="76" spans="1:12" ht="15" customHeight="1" x14ac:dyDescent="0.25">
      <c r="A76" s="39" t="s">
        <v>142</v>
      </c>
      <c r="B76" s="37">
        <v>71.5</v>
      </c>
      <c r="C76" s="37">
        <v>1.4</v>
      </c>
      <c r="D76" s="37">
        <v>15.7</v>
      </c>
      <c r="E76" s="37">
        <v>14.1</v>
      </c>
      <c r="F76" s="37">
        <v>0.4</v>
      </c>
      <c r="G76" s="37">
        <v>11.6</v>
      </c>
      <c r="H76" s="37">
        <v>2.5</v>
      </c>
      <c r="I76" s="37">
        <v>4.2</v>
      </c>
      <c r="J76" s="37">
        <v>3.4</v>
      </c>
      <c r="K76" s="37">
        <v>7.3</v>
      </c>
      <c r="L76" s="37">
        <v>14.3</v>
      </c>
    </row>
    <row r="77" spans="1:12" ht="15" customHeight="1" x14ac:dyDescent="0.25">
      <c r="A77" s="41" t="s">
        <v>143</v>
      </c>
      <c r="B77" s="37">
        <v>62</v>
      </c>
      <c r="C77" s="37">
        <v>1.6</v>
      </c>
      <c r="D77" s="37">
        <v>12.5</v>
      </c>
      <c r="E77" s="37">
        <v>11.8</v>
      </c>
      <c r="F77" s="37">
        <v>0.4</v>
      </c>
      <c r="G77" s="37">
        <v>11.6</v>
      </c>
      <c r="H77" s="37">
        <v>2.2000000000000002</v>
      </c>
      <c r="I77" s="37">
        <v>4.8</v>
      </c>
      <c r="J77" s="37">
        <v>3.3</v>
      </c>
      <c r="K77" s="37">
        <v>4.5999999999999996</v>
      </c>
      <c r="L77" s="37">
        <v>12.9</v>
      </c>
    </row>
    <row r="78" spans="1:12" ht="24" customHeight="1" x14ac:dyDescent="0.25">
      <c r="A78" s="40" t="s">
        <v>144</v>
      </c>
      <c r="B78" s="33" t="s">
        <v>16</v>
      </c>
      <c r="C78" s="33" t="s">
        <v>16</v>
      </c>
      <c r="D78" s="33" t="s">
        <v>16</v>
      </c>
      <c r="E78" s="33" t="s">
        <v>16</v>
      </c>
      <c r="F78" s="33" t="s">
        <v>16</v>
      </c>
      <c r="G78" s="33" t="s">
        <v>16</v>
      </c>
      <c r="H78" s="33" t="s">
        <v>16</v>
      </c>
      <c r="I78" s="33" t="s">
        <v>16</v>
      </c>
      <c r="J78" s="33" t="s">
        <v>16</v>
      </c>
      <c r="K78" s="33" t="s">
        <v>16</v>
      </c>
      <c r="L78" s="33" t="s">
        <v>16</v>
      </c>
    </row>
    <row r="79" spans="1:12" ht="15" customHeight="1" x14ac:dyDescent="0.25">
      <c r="A79" s="35" t="s">
        <v>145</v>
      </c>
      <c r="B79" s="43">
        <v>29.3</v>
      </c>
      <c r="C79" s="43">
        <v>1.9</v>
      </c>
      <c r="D79" s="43">
        <v>4.8</v>
      </c>
      <c r="E79" s="43">
        <v>3.4</v>
      </c>
      <c r="F79" s="43">
        <v>0.4</v>
      </c>
      <c r="G79" s="43">
        <v>5.5</v>
      </c>
      <c r="H79" s="43">
        <v>4.7</v>
      </c>
      <c r="I79" s="43">
        <v>9</v>
      </c>
      <c r="J79" s="43">
        <v>2</v>
      </c>
      <c r="K79" s="43">
        <v>2.4</v>
      </c>
      <c r="L79" s="43">
        <v>7.2</v>
      </c>
    </row>
    <row r="80" spans="1:12" ht="15" customHeight="1" x14ac:dyDescent="0.25">
      <c r="A80" s="41" t="s">
        <v>146</v>
      </c>
      <c r="B80" s="43">
        <v>42.5</v>
      </c>
      <c r="C80" s="43">
        <v>1.8</v>
      </c>
      <c r="D80" s="43">
        <v>6.3</v>
      </c>
      <c r="E80" s="43">
        <v>5.7</v>
      </c>
      <c r="F80" s="43">
        <v>0.5</v>
      </c>
      <c r="G80" s="43">
        <v>6.8</v>
      </c>
      <c r="H80" s="43">
        <v>9.3000000000000007</v>
      </c>
      <c r="I80" s="43">
        <v>10.6</v>
      </c>
      <c r="J80" s="43">
        <v>1.9</v>
      </c>
      <c r="K80" s="43">
        <v>2.9</v>
      </c>
      <c r="L80" s="43">
        <v>7.9</v>
      </c>
    </row>
    <row r="81" spans="1:12" ht="15" customHeight="1" x14ac:dyDescent="0.25">
      <c r="A81" s="41" t="s">
        <v>147</v>
      </c>
      <c r="B81" s="43">
        <v>46.9</v>
      </c>
      <c r="C81" s="43">
        <v>2</v>
      </c>
      <c r="D81" s="43">
        <v>6.2</v>
      </c>
      <c r="E81" s="43">
        <v>6.4</v>
      </c>
      <c r="F81" s="43">
        <v>0.6</v>
      </c>
      <c r="G81" s="43">
        <v>7.4</v>
      </c>
      <c r="H81" s="43">
        <v>10</v>
      </c>
      <c r="I81" s="43">
        <v>12.1</v>
      </c>
      <c r="J81" s="43">
        <v>2.2999999999999998</v>
      </c>
      <c r="K81" s="43">
        <v>3.4</v>
      </c>
      <c r="L81" s="43">
        <v>7.9</v>
      </c>
    </row>
    <row r="82" spans="1:12" ht="15" customHeight="1" x14ac:dyDescent="0.25">
      <c r="A82" s="35" t="s">
        <v>148</v>
      </c>
      <c r="B82" s="43">
        <v>51.7</v>
      </c>
      <c r="C82" s="43">
        <v>1.7</v>
      </c>
      <c r="D82" s="43">
        <v>7.4</v>
      </c>
      <c r="E82" s="43">
        <v>7.8</v>
      </c>
      <c r="F82" s="43">
        <v>0.6</v>
      </c>
      <c r="G82" s="43">
        <v>8.6999999999999993</v>
      </c>
      <c r="H82" s="43">
        <v>4.5</v>
      </c>
      <c r="I82" s="43">
        <v>11.1</v>
      </c>
      <c r="J82" s="43">
        <v>2.1</v>
      </c>
      <c r="K82" s="43">
        <v>5.0999999999999996</v>
      </c>
      <c r="L82" s="43">
        <v>8.5</v>
      </c>
    </row>
    <row r="83" spans="1:12" ht="15" customHeight="1" x14ac:dyDescent="0.25">
      <c r="A83" s="41" t="s">
        <v>149</v>
      </c>
      <c r="B83" s="43">
        <v>54.2</v>
      </c>
      <c r="C83" s="43">
        <v>1.6</v>
      </c>
      <c r="D83" s="43">
        <v>9.1</v>
      </c>
      <c r="E83" s="43">
        <v>8.8000000000000007</v>
      </c>
      <c r="F83" s="43">
        <v>0.6</v>
      </c>
      <c r="G83" s="43">
        <v>9.5</v>
      </c>
      <c r="H83" s="43">
        <v>1.7</v>
      </c>
      <c r="I83" s="43">
        <v>9.3000000000000007</v>
      </c>
      <c r="J83" s="43">
        <v>2</v>
      </c>
      <c r="K83" s="43">
        <v>5.5</v>
      </c>
      <c r="L83" s="43">
        <v>8.9</v>
      </c>
    </row>
    <row r="84" spans="1:12" ht="15" customHeight="1" x14ac:dyDescent="0.25">
      <c r="A84" s="41" t="s">
        <v>150</v>
      </c>
      <c r="B84" s="43">
        <v>57.8</v>
      </c>
      <c r="C84" s="43">
        <v>1.5</v>
      </c>
      <c r="D84" s="43">
        <v>9.9</v>
      </c>
      <c r="E84" s="43">
        <v>10</v>
      </c>
      <c r="F84" s="43">
        <v>0.5</v>
      </c>
      <c r="G84" s="43">
        <v>10.7</v>
      </c>
      <c r="H84" s="43">
        <v>1.5</v>
      </c>
      <c r="I84" s="43">
        <v>8.1999999999999993</v>
      </c>
      <c r="J84" s="43">
        <v>1.9</v>
      </c>
      <c r="K84" s="43">
        <v>6.3</v>
      </c>
      <c r="L84" s="43">
        <v>10.4</v>
      </c>
    </row>
    <row r="85" spans="1:12" ht="15" customHeight="1" x14ac:dyDescent="0.25">
      <c r="A85" s="41" t="s">
        <v>151</v>
      </c>
      <c r="B85" s="43">
        <v>71.099999999999994</v>
      </c>
      <c r="C85" s="43">
        <v>1.6</v>
      </c>
      <c r="D85" s="43">
        <v>14.1</v>
      </c>
      <c r="E85" s="43">
        <v>14.6</v>
      </c>
      <c r="F85" s="43">
        <v>0.5</v>
      </c>
      <c r="G85" s="43">
        <v>12.1</v>
      </c>
      <c r="H85" s="43">
        <v>2.2000000000000002</v>
      </c>
      <c r="I85" s="43">
        <v>4.4000000000000004</v>
      </c>
      <c r="J85" s="43">
        <v>2.8</v>
      </c>
      <c r="K85" s="43">
        <v>9.1999999999999993</v>
      </c>
      <c r="L85" s="43">
        <v>13</v>
      </c>
    </row>
    <row r="86" spans="1:12" ht="24" customHeight="1" x14ac:dyDescent="0.25">
      <c r="A86" s="40" t="s">
        <v>152</v>
      </c>
      <c r="B86" s="46" t="s">
        <v>16</v>
      </c>
      <c r="C86" s="46" t="s">
        <v>16</v>
      </c>
      <c r="D86" s="46" t="s">
        <v>16</v>
      </c>
      <c r="E86" s="46" t="s">
        <v>16</v>
      </c>
      <c r="F86" s="46" t="s">
        <v>16</v>
      </c>
      <c r="G86" s="46" t="s">
        <v>16</v>
      </c>
      <c r="H86" s="46" t="s">
        <v>16</v>
      </c>
      <c r="I86" s="46" t="s">
        <v>16</v>
      </c>
      <c r="J86" s="46" t="s">
        <v>16</v>
      </c>
      <c r="K86" s="46" t="s">
        <v>16</v>
      </c>
      <c r="L86" s="46" t="s">
        <v>16</v>
      </c>
    </row>
    <row r="87" spans="1:12" ht="15" customHeight="1" x14ac:dyDescent="0.25">
      <c r="A87" s="35" t="s">
        <v>153</v>
      </c>
      <c r="B87" s="43">
        <v>18.2</v>
      </c>
      <c r="C87" s="43">
        <v>1.6</v>
      </c>
      <c r="D87" s="43">
        <v>4.0999999999999996</v>
      </c>
      <c r="E87" s="43">
        <v>1.4</v>
      </c>
      <c r="F87" s="43">
        <v>0.4</v>
      </c>
      <c r="G87" s="43">
        <v>3.1</v>
      </c>
      <c r="H87" s="43">
        <v>1.3</v>
      </c>
      <c r="I87" s="43">
        <v>3.4</v>
      </c>
      <c r="J87" s="43">
        <v>1.4</v>
      </c>
      <c r="K87" s="43">
        <v>3</v>
      </c>
      <c r="L87" s="43">
        <v>5.0999999999999996</v>
      </c>
    </row>
    <row r="88" spans="1:12" ht="15" customHeight="1" x14ac:dyDescent="0.25">
      <c r="A88" s="41" t="s">
        <v>154</v>
      </c>
      <c r="B88" s="43">
        <v>33.5</v>
      </c>
      <c r="C88" s="43">
        <v>1.4</v>
      </c>
      <c r="D88" s="43">
        <v>6.2</v>
      </c>
      <c r="E88" s="43">
        <v>4.8</v>
      </c>
      <c r="F88" s="43">
        <v>0.3</v>
      </c>
      <c r="G88" s="43">
        <v>6.3</v>
      </c>
      <c r="H88" s="43">
        <v>1</v>
      </c>
      <c r="I88" s="43">
        <v>3</v>
      </c>
      <c r="J88" s="43">
        <v>1.8</v>
      </c>
      <c r="K88" s="43">
        <v>5.5</v>
      </c>
      <c r="L88" s="43">
        <v>6.3</v>
      </c>
    </row>
    <row r="89" spans="1:12" ht="15" customHeight="1" x14ac:dyDescent="0.25">
      <c r="A89" s="41" t="s">
        <v>155</v>
      </c>
      <c r="B89" s="43">
        <v>39.799999999999997</v>
      </c>
      <c r="C89" s="43">
        <v>1.8</v>
      </c>
      <c r="D89" s="43">
        <v>6.7</v>
      </c>
      <c r="E89" s="43">
        <v>6.9</v>
      </c>
      <c r="F89" s="43">
        <v>0.3</v>
      </c>
      <c r="G89" s="43">
        <v>7.3</v>
      </c>
      <c r="H89" s="43">
        <v>1.2</v>
      </c>
      <c r="I89" s="43">
        <v>3.7</v>
      </c>
      <c r="J89" s="43">
        <v>1.7</v>
      </c>
      <c r="K89" s="43">
        <v>6.2</v>
      </c>
      <c r="L89" s="43">
        <v>7.4</v>
      </c>
    </row>
    <row r="90" spans="1:12" ht="15" customHeight="1" x14ac:dyDescent="0.25">
      <c r="A90" s="35" t="s">
        <v>156</v>
      </c>
      <c r="B90" s="43">
        <v>53.8</v>
      </c>
      <c r="C90" s="43">
        <v>1.7</v>
      </c>
      <c r="D90" s="43">
        <v>8.6</v>
      </c>
      <c r="E90" s="43">
        <v>9.5</v>
      </c>
      <c r="F90" s="43">
        <v>0.7</v>
      </c>
      <c r="G90" s="43">
        <v>9</v>
      </c>
      <c r="H90" s="43">
        <v>2.7</v>
      </c>
      <c r="I90" s="43">
        <v>11.9</v>
      </c>
      <c r="J90" s="43">
        <v>1.6</v>
      </c>
      <c r="K90" s="43">
        <v>4.3</v>
      </c>
      <c r="L90" s="43">
        <v>8.3000000000000007</v>
      </c>
    </row>
    <row r="91" spans="1:12" ht="15" customHeight="1" x14ac:dyDescent="0.25">
      <c r="A91" s="41" t="s">
        <v>157</v>
      </c>
      <c r="B91" s="43">
        <v>72.900000000000006</v>
      </c>
      <c r="C91" s="43">
        <v>2.2000000000000002</v>
      </c>
      <c r="D91" s="43">
        <v>10</v>
      </c>
      <c r="E91" s="43">
        <v>10.199999999999999</v>
      </c>
      <c r="F91" s="43">
        <v>0.5</v>
      </c>
      <c r="G91" s="43">
        <v>11.4</v>
      </c>
      <c r="H91" s="43">
        <v>11.2</v>
      </c>
      <c r="I91" s="43">
        <v>25</v>
      </c>
      <c r="J91" s="43">
        <v>1.5</v>
      </c>
      <c r="K91" s="43">
        <v>3.1</v>
      </c>
      <c r="L91" s="43">
        <v>10.6</v>
      </c>
    </row>
    <row r="92" spans="1:12" ht="15" customHeight="1" x14ac:dyDescent="0.25">
      <c r="A92" s="41" t="s">
        <v>158</v>
      </c>
      <c r="B92" s="37">
        <v>73.400000000000006</v>
      </c>
      <c r="C92" s="37">
        <v>1.7</v>
      </c>
      <c r="D92" s="37">
        <v>12.5</v>
      </c>
      <c r="E92" s="37">
        <v>12.6</v>
      </c>
      <c r="F92" s="37">
        <v>0.8</v>
      </c>
      <c r="G92" s="37">
        <v>12.4</v>
      </c>
      <c r="H92" s="37">
        <v>5</v>
      </c>
      <c r="I92" s="37">
        <v>10.6</v>
      </c>
      <c r="J92" s="37">
        <v>4.0999999999999996</v>
      </c>
      <c r="K92" s="37">
        <v>6.1</v>
      </c>
      <c r="L92" s="37">
        <v>14.9</v>
      </c>
    </row>
    <row r="93" spans="1:12" ht="24" customHeight="1" x14ac:dyDescent="0.25">
      <c r="A93" s="40" t="s">
        <v>159</v>
      </c>
      <c r="B93" s="46" t="s">
        <v>16</v>
      </c>
      <c r="C93" s="46" t="s">
        <v>16</v>
      </c>
      <c r="D93" s="46" t="s">
        <v>16</v>
      </c>
      <c r="E93" s="46" t="s">
        <v>16</v>
      </c>
      <c r="F93" s="46" t="s">
        <v>16</v>
      </c>
      <c r="G93" s="46" t="s">
        <v>16</v>
      </c>
      <c r="H93" s="46" t="s">
        <v>16</v>
      </c>
      <c r="I93" s="46" t="s">
        <v>16</v>
      </c>
      <c r="J93" s="46" t="s">
        <v>16</v>
      </c>
      <c r="K93" s="46" t="s">
        <v>16</v>
      </c>
      <c r="L93" s="46" t="s">
        <v>16</v>
      </c>
    </row>
    <row r="94" spans="1:12" ht="15" customHeight="1" x14ac:dyDescent="0.25">
      <c r="A94" s="35" t="s">
        <v>160</v>
      </c>
      <c r="B94" s="43">
        <v>51.4</v>
      </c>
      <c r="C94" s="43">
        <v>1.7</v>
      </c>
      <c r="D94" s="43">
        <v>8</v>
      </c>
      <c r="E94" s="43">
        <v>8.4</v>
      </c>
      <c r="F94" s="43">
        <v>0.5</v>
      </c>
      <c r="G94" s="43">
        <v>8.9</v>
      </c>
      <c r="H94" s="43">
        <v>4.8</v>
      </c>
      <c r="I94" s="43">
        <v>10.8</v>
      </c>
      <c r="J94" s="43">
        <v>2.2000000000000002</v>
      </c>
      <c r="K94" s="43">
        <v>4.9000000000000004</v>
      </c>
      <c r="L94" s="43">
        <v>9.1999999999999993</v>
      </c>
    </row>
    <row r="95" spans="1:12" ht="15" customHeight="1" x14ac:dyDescent="0.25">
      <c r="A95" s="39" t="s">
        <v>161</v>
      </c>
      <c r="B95" s="43">
        <v>51.2</v>
      </c>
      <c r="C95" s="43">
        <v>1.9</v>
      </c>
      <c r="D95" s="43">
        <v>8.6</v>
      </c>
      <c r="E95" s="43">
        <v>7.6</v>
      </c>
      <c r="F95" s="43">
        <v>0.4</v>
      </c>
      <c r="G95" s="43">
        <v>8.8000000000000007</v>
      </c>
      <c r="H95" s="43">
        <v>5.3</v>
      </c>
      <c r="I95" s="43">
        <v>10</v>
      </c>
      <c r="J95" s="43">
        <v>2.5</v>
      </c>
      <c r="K95" s="43">
        <v>4.3</v>
      </c>
      <c r="L95" s="43">
        <v>9.9</v>
      </c>
    </row>
    <row r="96" spans="1:12" ht="15" customHeight="1" x14ac:dyDescent="0.25">
      <c r="A96" s="39" t="s">
        <v>162</v>
      </c>
      <c r="B96" s="43">
        <v>52.6</v>
      </c>
      <c r="C96" s="43">
        <v>1.7</v>
      </c>
      <c r="D96" s="43">
        <v>7.5</v>
      </c>
      <c r="E96" s="43">
        <v>9.3000000000000007</v>
      </c>
      <c r="F96" s="43">
        <v>0.6</v>
      </c>
      <c r="G96" s="43">
        <v>9</v>
      </c>
      <c r="H96" s="43">
        <v>5</v>
      </c>
      <c r="I96" s="43">
        <v>12.5</v>
      </c>
      <c r="J96" s="43">
        <v>2</v>
      </c>
      <c r="K96" s="43">
        <v>5.0999999999999996</v>
      </c>
      <c r="L96" s="43">
        <v>8.4</v>
      </c>
    </row>
    <row r="97" spans="1:12" ht="15" customHeight="1" x14ac:dyDescent="0.25">
      <c r="A97" s="39" t="s">
        <v>163</v>
      </c>
      <c r="B97" s="43">
        <v>51.2</v>
      </c>
      <c r="C97" s="43">
        <v>1.3</v>
      </c>
      <c r="D97" s="43">
        <v>7.5</v>
      </c>
      <c r="E97" s="43">
        <v>8.9</v>
      </c>
      <c r="F97" s="43">
        <v>0.4</v>
      </c>
      <c r="G97" s="43">
        <v>9</v>
      </c>
      <c r="H97" s="43">
        <v>2.8</v>
      </c>
      <c r="I97" s="43">
        <v>8.6</v>
      </c>
      <c r="J97" s="43">
        <v>1.8</v>
      </c>
      <c r="K97" s="43">
        <v>6.2</v>
      </c>
      <c r="L97" s="43">
        <v>9</v>
      </c>
    </row>
    <row r="98" spans="1:12" ht="15" customHeight="1" x14ac:dyDescent="0.25">
      <c r="A98" s="39" t="s">
        <v>164</v>
      </c>
      <c r="B98" s="43">
        <v>8.6</v>
      </c>
      <c r="C98" s="43" t="s">
        <v>28</v>
      </c>
      <c r="D98" s="43">
        <v>1.7</v>
      </c>
      <c r="E98" s="43">
        <v>0.1</v>
      </c>
      <c r="F98" s="43" t="s">
        <v>28</v>
      </c>
      <c r="G98" s="43">
        <v>1.9</v>
      </c>
      <c r="H98" s="43" t="s">
        <v>28</v>
      </c>
      <c r="I98" s="43" t="s">
        <v>28</v>
      </c>
      <c r="J98" s="43" t="s">
        <v>28</v>
      </c>
      <c r="K98" s="43" t="s">
        <v>28</v>
      </c>
      <c r="L98" s="43">
        <v>6.2</v>
      </c>
    </row>
    <row r="99" spans="1:12" ht="15" customHeight="1" x14ac:dyDescent="0.25">
      <c r="A99" s="41" t="s">
        <v>165</v>
      </c>
      <c r="B99" s="43">
        <v>45.2</v>
      </c>
      <c r="C99" s="43">
        <v>1.7</v>
      </c>
      <c r="D99" s="43">
        <v>9.6</v>
      </c>
      <c r="E99" s="43">
        <v>7.3</v>
      </c>
      <c r="F99" s="43">
        <v>0.6</v>
      </c>
      <c r="G99" s="43">
        <v>8</v>
      </c>
      <c r="H99" s="43">
        <v>1.5</v>
      </c>
      <c r="I99" s="43">
        <v>3.9</v>
      </c>
      <c r="J99" s="43">
        <v>1.9</v>
      </c>
      <c r="K99" s="43">
        <v>6</v>
      </c>
      <c r="L99" s="43">
        <v>8.8000000000000007</v>
      </c>
    </row>
    <row r="100" spans="1:12" ht="15" customHeight="1" x14ac:dyDescent="0.25">
      <c r="A100" s="39" t="s">
        <v>166</v>
      </c>
      <c r="B100" s="43">
        <v>49.2</v>
      </c>
      <c r="C100" s="43">
        <v>1.4</v>
      </c>
      <c r="D100" s="43">
        <v>9.1</v>
      </c>
      <c r="E100" s="43">
        <v>10.9</v>
      </c>
      <c r="F100" s="43">
        <v>0.2</v>
      </c>
      <c r="G100" s="43">
        <v>9.6999999999999993</v>
      </c>
      <c r="H100" s="43">
        <v>1.3</v>
      </c>
      <c r="I100" s="43">
        <v>1.9</v>
      </c>
      <c r="J100" s="43">
        <v>1.2</v>
      </c>
      <c r="K100" s="43">
        <v>4.8</v>
      </c>
      <c r="L100" s="43">
        <v>11.2</v>
      </c>
    </row>
    <row r="101" spans="1:12" ht="15" customHeight="1" x14ac:dyDescent="0.25">
      <c r="A101" s="39" t="s">
        <v>167</v>
      </c>
      <c r="B101" s="43">
        <v>49.8</v>
      </c>
      <c r="C101" s="43">
        <v>2</v>
      </c>
      <c r="D101" s="43">
        <v>8.6</v>
      </c>
      <c r="E101" s="43">
        <v>10.199999999999999</v>
      </c>
      <c r="F101" s="43">
        <v>0.4</v>
      </c>
      <c r="G101" s="43">
        <v>9.3000000000000007</v>
      </c>
      <c r="H101" s="43">
        <v>2.1</v>
      </c>
      <c r="I101" s="43">
        <v>4.5999999999999996</v>
      </c>
      <c r="J101" s="43">
        <v>2.4</v>
      </c>
      <c r="K101" s="43">
        <v>6.4</v>
      </c>
      <c r="L101" s="43">
        <v>10</v>
      </c>
    </row>
    <row r="102" spans="1:12" ht="15" customHeight="1" x14ac:dyDescent="0.25">
      <c r="A102" s="39" t="s">
        <v>168</v>
      </c>
      <c r="B102" s="43">
        <v>42.6</v>
      </c>
      <c r="C102" s="43">
        <v>1.7</v>
      </c>
      <c r="D102" s="43">
        <v>10.1</v>
      </c>
      <c r="E102" s="43">
        <v>5.5</v>
      </c>
      <c r="F102" s="43">
        <v>0.7</v>
      </c>
      <c r="G102" s="43">
        <v>7.2</v>
      </c>
      <c r="H102" s="43">
        <v>1.4</v>
      </c>
      <c r="I102" s="43">
        <v>3.8</v>
      </c>
      <c r="J102" s="43">
        <v>1.8</v>
      </c>
      <c r="K102" s="43">
        <v>6</v>
      </c>
      <c r="L102" s="43">
        <v>7.9</v>
      </c>
    </row>
    <row r="103" spans="1:12" ht="45.95" customHeight="1" x14ac:dyDescent="0.25">
      <c r="A103" s="40" t="s">
        <v>169</v>
      </c>
      <c r="B103" s="46" t="s">
        <v>16</v>
      </c>
      <c r="C103" s="46" t="s">
        <v>16</v>
      </c>
      <c r="D103" s="46" t="s">
        <v>16</v>
      </c>
      <c r="E103" s="46" t="s">
        <v>16</v>
      </c>
      <c r="F103" s="46" t="s">
        <v>16</v>
      </c>
      <c r="G103" s="46" t="s">
        <v>16</v>
      </c>
      <c r="H103" s="46" t="s">
        <v>16</v>
      </c>
      <c r="I103" s="46" t="s">
        <v>16</v>
      </c>
      <c r="J103" s="46" t="s">
        <v>16</v>
      </c>
      <c r="K103" s="46" t="s">
        <v>16</v>
      </c>
      <c r="L103" s="46" t="s">
        <v>16</v>
      </c>
    </row>
    <row r="104" spans="1:12" ht="15" customHeight="1" x14ac:dyDescent="0.25">
      <c r="A104" s="35" t="s">
        <v>170</v>
      </c>
      <c r="B104" s="43">
        <v>49</v>
      </c>
      <c r="C104" s="43">
        <v>1.8</v>
      </c>
      <c r="D104" s="43">
        <v>8.5</v>
      </c>
      <c r="E104" s="43">
        <v>8.1</v>
      </c>
      <c r="F104" s="43">
        <v>0.5</v>
      </c>
      <c r="G104" s="43">
        <v>8.6</v>
      </c>
      <c r="H104" s="43">
        <v>3.4</v>
      </c>
      <c r="I104" s="43">
        <v>7.7</v>
      </c>
      <c r="J104" s="43">
        <v>2.2000000000000002</v>
      </c>
      <c r="K104" s="43">
        <v>5.4</v>
      </c>
      <c r="L104" s="43">
        <v>9.1999999999999993</v>
      </c>
    </row>
    <row r="105" spans="1:12" ht="15" customHeight="1" x14ac:dyDescent="0.25">
      <c r="A105" s="41" t="s">
        <v>171</v>
      </c>
      <c r="B105" s="43">
        <v>55.7</v>
      </c>
      <c r="C105" s="43">
        <v>1.5</v>
      </c>
      <c r="D105" s="43">
        <v>7.1</v>
      </c>
      <c r="E105" s="43">
        <v>8.1999999999999993</v>
      </c>
      <c r="F105" s="43">
        <v>0.6</v>
      </c>
      <c r="G105" s="43">
        <v>9.1999999999999993</v>
      </c>
      <c r="H105" s="43">
        <v>5.3</v>
      </c>
      <c r="I105" s="43">
        <v>17.600000000000001</v>
      </c>
      <c r="J105" s="43">
        <v>1.7</v>
      </c>
      <c r="K105" s="43">
        <v>3.6</v>
      </c>
      <c r="L105" s="43">
        <v>7.9</v>
      </c>
    </row>
    <row r="106" spans="1:12" ht="15" customHeight="1" x14ac:dyDescent="0.25">
      <c r="A106" s="41" t="s">
        <v>172</v>
      </c>
      <c r="B106" s="43">
        <v>50.5</v>
      </c>
      <c r="C106" s="43">
        <v>1.3</v>
      </c>
      <c r="D106" s="43">
        <v>9.1</v>
      </c>
      <c r="E106" s="43">
        <v>9.9</v>
      </c>
      <c r="F106" s="43">
        <v>0.3</v>
      </c>
      <c r="G106" s="43">
        <v>7.5</v>
      </c>
      <c r="H106" s="43">
        <v>4.4000000000000004</v>
      </c>
      <c r="I106" s="43">
        <v>7.2</v>
      </c>
      <c r="J106" s="43">
        <v>2.8</v>
      </c>
      <c r="K106" s="43">
        <v>6</v>
      </c>
      <c r="L106" s="43">
        <v>8.5</v>
      </c>
    </row>
    <row r="107" spans="1:12" ht="15" customHeight="1" x14ac:dyDescent="0.25">
      <c r="A107" s="35" t="s">
        <v>173</v>
      </c>
      <c r="B107" s="43">
        <v>55.3</v>
      </c>
      <c r="C107" s="43">
        <v>1.8</v>
      </c>
      <c r="D107" s="43">
        <v>10.199999999999999</v>
      </c>
      <c r="E107" s="43">
        <v>6.5</v>
      </c>
      <c r="F107" s="43" t="s">
        <v>28</v>
      </c>
      <c r="G107" s="43">
        <v>8.1999999999999993</v>
      </c>
      <c r="H107" s="43">
        <v>5.9</v>
      </c>
      <c r="I107" s="43">
        <v>12.9</v>
      </c>
      <c r="J107" s="43">
        <v>2.2999999999999998</v>
      </c>
      <c r="K107" s="43">
        <v>3</v>
      </c>
      <c r="L107" s="43">
        <v>9.6999999999999993</v>
      </c>
    </row>
    <row r="108" spans="1:12" ht="33.950000000000003" customHeight="1" x14ac:dyDescent="0.25">
      <c r="A108" s="40" t="s">
        <v>174</v>
      </c>
      <c r="B108" s="46" t="s">
        <v>16</v>
      </c>
      <c r="C108" s="46" t="s">
        <v>16</v>
      </c>
      <c r="D108" s="46" t="s">
        <v>16</v>
      </c>
      <c r="E108" s="46" t="s">
        <v>16</v>
      </c>
      <c r="F108" s="46" t="s">
        <v>16</v>
      </c>
      <c r="G108" s="46" t="s">
        <v>16</v>
      </c>
      <c r="H108" s="46" t="s">
        <v>16</v>
      </c>
      <c r="I108" s="46" t="s">
        <v>16</v>
      </c>
      <c r="J108" s="46" t="s">
        <v>16</v>
      </c>
      <c r="K108" s="46" t="s">
        <v>16</v>
      </c>
      <c r="L108" s="46" t="s">
        <v>16</v>
      </c>
    </row>
    <row r="109" spans="1:12" ht="15" customHeight="1" x14ac:dyDescent="0.25">
      <c r="A109" s="35" t="s">
        <v>170</v>
      </c>
      <c r="B109" s="43">
        <v>48.8</v>
      </c>
      <c r="C109" s="43">
        <v>1.7</v>
      </c>
      <c r="D109" s="43">
        <v>8.4</v>
      </c>
      <c r="E109" s="43">
        <v>8</v>
      </c>
      <c r="F109" s="43">
        <v>0.5</v>
      </c>
      <c r="G109" s="43">
        <v>8.6</v>
      </c>
      <c r="H109" s="43">
        <v>3.4</v>
      </c>
      <c r="I109" s="43">
        <v>7.9</v>
      </c>
      <c r="J109" s="43">
        <v>2.2000000000000002</v>
      </c>
      <c r="K109" s="43">
        <v>5.3</v>
      </c>
      <c r="L109" s="43">
        <v>9.1999999999999993</v>
      </c>
    </row>
    <row r="110" spans="1:12" ht="15" customHeight="1" x14ac:dyDescent="0.25">
      <c r="A110" s="41" t="s">
        <v>171</v>
      </c>
      <c r="B110" s="43">
        <v>59.4</v>
      </c>
      <c r="C110" s="43">
        <v>1.7</v>
      </c>
      <c r="D110" s="43">
        <v>7.8</v>
      </c>
      <c r="E110" s="43">
        <v>8.6999999999999993</v>
      </c>
      <c r="F110" s="43">
        <v>0.7</v>
      </c>
      <c r="G110" s="43">
        <v>9.6</v>
      </c>
      <c r="H110" s="43">
        <v>6.5</v>
      </c>
      <c r="I110" s="43">
        <v>17.899999999999999</v>
      </c>
      <c r="J110" s="43">
        <v>1.8</v>
      </c>
      <c r="K110" s="43">
        <v>4.0999999999999996</v>
      </c>
      <c r="L110" s="43">
        <v>8.5</v>
      </c>
    </row>
    <row r="111" spans="1:12" ht="15" customHeight="1" x14ac:dyDescent="0.25">
      <c r="A111" s="41" t="s">
        <v>172</v>
      </c>
      <c r="B111" s="43">
        <v>46</v>
      </c>
      <c r="C111" s="43">
        <v>1.8</v>
      </c>
      <c r="D111" s="43">
        <v>6.7</v>
      </c>
      <c r="E111" s="43">
        <v>9.5</v>
      </c>
      <c r="F111" s="43">
        <v>0.4</v>
      </c>
      <c r="G111" s="43">
        <v>7.6</v>
      </c>
      <c r="H111" s="43">
        <v>4.3</v>
      </c>
      <c r="I111" s="43">
        <v>6.8</v>
      </c>
      <c r="J111" s="43">
        <v>2.2000000000000002</v>
      </c>
      <c r="K111" s="43">
        <v>4</v>
      </c>
      <c r="L111" s="43">
        <v>8</v>
      </c>
    </row>
    <row r="112" spans="1:12" ht="15" customHeight="1" x14ac:dyDescent="0.25">
      <c r="A112" s="35" t="s">
        <v>173</v>
      </c>
      <c r="B112" s="43">
        <v>55.9</v>
      </c>
      <c r="C112" s="43">
        <v>1.3</v>
      </c>
      <c r="D112" s="43">
        <v>9.1</v>
      </c>
      <c r="E112" s="43">
        <v>8.1999999999999993</v>
      </c>
      <c r="F112" s="43">
        <v>0.4</v>
      </c>
      <c r="G112" s="43">
        <v>8.1999999999999993</v>
      </c>
      <c r="H112" s="43">
        <v>4.3</v>
      </c>
      <c r="I112" s="43">
        <v>17.399999999999999</v>
      </c>
      <c r="J112" s="43">
        <v>1.9</v>
      </c>
      <c r="K112" s="43">
        <v>3</v>
      </c>
      <c r="L112" s="43">
        <v>8.1</v>
      </c>
    </row>
    <row r="113" spans="1:12" ht="24" customHeight="1" x14ac:dyDescent="0.25">
      <c r="A113" s="40" t="s">
        <v>175</v>
      </c>
      <c r="B113" s="46" t="s">
        <v>16</v>
      </c>
      <c r="C113" s="46" t="s">
        <v>16</v>
      </c>
      <c r="D113" s="46" t="s">
        <v>16</v>
      </c>
      <c r="E113" s="46" t="s">
        <v>16</v>
      </c>
      <c r="F113" s="46" t="s">
        <v>16</v>
      </c>
      <c r="G113" s="46" t="s">
        <v>16</v>
      </c>
      <c r="H113" s="46" t="s">
        <v>16</v>
      </c>
      <c r="I113" s="46" t="s">
        <v>16</v>
      </c>
      <c r="J113" s="46" t="s">
        <v>16</v>
      </c>
      <c r="K113" s="46" t="s">
        <v>16</v>
      </c>
      <c r="L113" s="46" t="s">
        <v>16</v>
      </c>
    </row>
    <row r="114" spans="1:12" ht="15" customHeight="1" x14ac:dyDescent="0.25">
      <c r="A114" s="35" t="s">
        <v>133</v>
      </c>
      <c r="B114" s="43">
        <v>48.7</v>
      </c>
      <c r="C114" s="43">
        <v>1.9</v>
      </c>
      <c r="D114" s="43">
        <v>8.3000000000000007</v>
      </c>
      <c r="E114" s="43">
        <v>7.4</v>
      </c>
      <c r="F114" s="43">
        <v>0.5</v>
      </c>
      <c r="G114" s="43">
        <v>8.5</v>
      </c>
      <c r="H114" s="43">
        <v>4.7</v>
      </c>
      <c r="I114" s="43">
        <v>8.6</v>
      </c>
      <c r="J114" s="43">
        <v>2.4</v>
      </c>
      <c r="K114" s="43">
        <v>5</v>
      </c>
      <c r="L114" s="43">
        <v>9.1999999999999993</v>
      </c>
    </row>
    <row r="115" spans="1:12" ht="15" customHeight="1" x14ac:dyDescent="0.25">
      <c r="A115" s="41" t="s">
        <v>176</v>
      </c>
      <c r="B115" s="43">
        <v>47.8</v>
      </c>
      <c r="C115" s="43">
        <v>1.5</v>
      </c>
      <c r="D115" s="43">
        <v>7.3</v>
      </c>
      <c r="E115" s="43">
        <v>8.1</v>
      </c>
      <c r="F115" s="43">
        <v>0.4</v>
      </c>
      <c r="G115" s="43">
        <v>8.1999999999999993</v>
      </c>
      <c r="H115" s="43">
        <v>2.8</v>
      </c>
      <c r="I115" s="43">
        <v>9.4</v>
      </c>
      <c r="J115" s="43">
        <v>1.7</v>
      </c>
      <c r="K115" s="43">
        <v>4.0999999999999996</v>
      </c>
      <c r="L115" s="43">
        <v>8.8000000000000007</v>
      </c>
    </row>
    <row r="116" spans="1:12" ht="15" customHeight="1" x14ac:dyDescent="0.25">
      <c r="A116" s="41" t="s">
        <v>177</v>
      </c>
      <c r="B116" s="43">
        <v>55.7</v>
      </c>
      <c r="C116" s="43">
        <v>1.4</v>
      </c>
      <c r="D116" s="43">
        <v>7.9</v>
      </c>
      <c r="E116" s="43">
        <v>10.5</v>
      </c>
      <c r="F116" s="43">
        <v>0.7</v>
      </c>
      <c r="G116" s="43">
        <v>8.5</v>
      </c>
      <c r="H116" s="43">
        <v>1.5</v>
      </c>
      <c r="I116" s="43">
        <v>12.3</v>
      </c>
      <c r="J116" s="43">
        <v>1.9</v>
      </c>
      <c r="K116" s="43">
        <v>6.5</v>
      </c>
      <c r="L116" s="43">
        <v>8</v>
      </c>
    </row>
    <row r="117" spans="1:12" ht="15" customHeight="1" x14ac:dyDescent="0.25">
      <c r="A117" s="35" t="s">
        <v>178</v>
      </c>
      <c r="B117" s="43">
        <v>63.6</v>
      </c>
      <c r="C117" s="43">
        <v>1.7</v>
      </c>
      <c r="D117" s="43">
        <v>10</v>
      </c>
      <c r="E117" s="43">
        <v>12.5</v>
      </c>
      <c r="F117" s="43">
        <v>0.7</v>
      </c>
      <c r="G117" s="43">
        <v>10.4</v>
      </c>
      <c r="H117" s="43">
        <v>1.4</v>
      </c>
      <c r="I117" s="43">
        <v>13.1</v>
      </c>
      <c r="J117" s="43">
        <v>2</v>
      </c>
      <c r="K117" s="43">
        <v>5.3</v>
      </c>
      <c r="L117" s="43">
        <v>9.1</v>
      </c>
    </row>
    <row r="118" spans="1:12" ht="15" customHeight="1" x14ac:dyDescent="0.25">
      <c r="A118" s="41" t="s">
        <v>179</v>
      </c>
      <c r="B118" s="43">
        <v>68.599999999999994</v>
      </c>
      <c r="C118" s="43">
        <v>1.3</v>
      </c>
      <c r="D118" s="43">
        <v>12.6</v>
      </c>
      <c r="E118" s="43">
        <v>12.4</v>
      </c>
      <c r="F118" s="43">
        <v>0.7</v>
      </c>
      <c r="G118" s="43">
        <v>12.6</v>
      </c>
      <c r="H118" s="43">
        <v>1.3</v>
      </c>
      <c r="I118" s="43">
        <v>7.4</v>
      </c>
      <c r="J118" s="43">
        <v>1.9</v>
      </c>
      <c r="K118" s="43">
        <v>10.199999999999999</v>
      </c>
      <c r="L118" s="43">
        <v>10.1</v>
      </c>
    </row>
    <row r="119" spans="1:12" ht="15" customHeight="1" x14ac:dyDescent="0.25">
      <c r="A119" s="41" t="s">
        <v>180</v>
      </c>
      <c r="B119" s="37">
        <v>7.5</v>
      </c>
      <c r="C119" s="37" t="s">
        <v>28</v>
      </c>
      <c r="D119" s="37">
        <v>1.6</v>
      </c>
      <c r="E119" s="37">
        <v>0.1</v>
      </c>
      <c r="F119" s="37" t="s">
        <v>28</v>
      </c>
      <c r="G119" s="37">
        <v>1.6</v>
      </c>
      <c r="H119" s="37" t="s">
        <v>28</v>
      </c>
      <c r="I119" s="37" t="s">
        <v>28</v>
      </c>
      <c r="J119" s="37" t="s">
        <v>28</v>
      </c>
      <c r="K119" s="37" t="s">
        <v>28</v>
      </c>
      <c r="L119" s="37">
        <v>5.5</v>
      </c>
    </row>
    <row r="120" spans="1:12" ht="24" customHeight="1" x14ac:dyDescent="0.25">
      <c r="A120" s="40" t="s">
        <v>181</v>
      </c>
      <c r="B120" s="46" t="s">
        <v>16</v>
      </c>
      <c r="C120" s="46" t="s">
        <v>16</v>
      </c>
      <c r="D120" s="46" t="s">
        <v>16</v>
      </c>
      <c r="E120" s="46" t="s">
        <v>16</v>
      </c>
      <c r="F120" s="46" t="s">
        <v>16</v>
      </c>
      <c r="G120" s="46" t="s">
        <v>16</v>
      </c>
      <c r="H120" s="46" t="s">
        <v>16</v>
      </c>
      <c r="I120" s="46" t="s">
        <v>16</v>
      </c>
      <c r="J120" s="46" t="s">
        <v>16</v>
      </c>
      <c r="K120" s="46" t="s">
        <v>16</v>
      </c>
      <c r="L120" s="46" t="s">
        <v>16</v>
      </c>
    </row>
    <row r="121" spans="1:12" ht="15" customHeight="1" x14ac:dyDescent="0.25">
      <c r="A121" s="35" t="s">
        <v>182</v>
      </c>
      <c r="B121" s="43">
        <v>51.4</v>
      </c>
      <c r="C121" s="43">
        <v>1.8</v>
      </c>
      <c r="D121" s="43">
        <v>8.6</v>
      </c>
      <c r="E121" s="43">
        <v>8.6</v>
      </c>
      <c r="F121" s="43">
        <v>0.6</v>
      </c>
      <c r="G121" s="43">
        <v>8.4</v>
      </c>
      <c r="H121" s="43">
        <v>3.9</v>
      </c>
      <c r="I121" s="43">
        <v>8.1999999999999993</v>
      </c>
      <c r="J121" s="43">
        <v>2.4</v>
      </c>
      <c r="K121" s="43">
        <v>5.5</v>
      </c>
      <c r="L121" s="43">
        <v>9.1999999999999993</v>
      </c>
    </row>
    <row r="122" spans="1:12" ht="15" customHeight="1" x14ac:dyDescent="0.25">
      <c r="A122" s="41" t="s">
        <v>183</v>
      </c>
      <c r="B122" s="43">
        <v>53.9</v>
      </c>
      <c r="C122" s="43">
        <v>1.5</v>
      </c>
      <c r="D122" s="43">
        <v>9.1</v>
      </c>
      <c r="E122" s="43">
        <v>8.1999999999999993</v>
      </c>
      <c r="F122" s="43">
        <v>0.6</v>
      </c>
      <c r="G122" s="43">
        <v>9.1999999999999993</v>
      </c>
      <c r="H122" s="43">
        <v>3.3</v>
      </c>
      <c r="I122" s="43">
        <v>12.9</v>
      </c>
      <c r="J122" s="43">
        <v>2</v>
      </c>
      <c r="K122" s="43">
        <v>4.2</v>
      </c>
      <c r="L122" s="43">
        <v>9</v>
      </c>
    </row>
    <row r="123" spans="1:12" ht="15" customHeight="1" x14ac:dyDescent="0.25">
      <c r="A123" s="41" t="s">
        <v>184</v>
      </c>
      <c r="B123" s="43">
        <v>48.7</v>
      </c>
      <c r="C123" s="43">
        <v>1.2</v>
      </c>
      <c r="D123" s="43">
        <v>7.1</v>
      </c>
      <c r="E123" s="43">
        <v>8.3000000000000007</v>
      </c>
      <c r="F123" s="43">
        <v>0.3</v>
      </c>
      <c r="G123" s="43">
        <v>9.1999999999999993</v>
      </c>
      <c r="H123" s="43">
        <v>2.7</v>
      </c>
      <c r="I123" s="43">
        <v>6.5</v>
      </c>
      <c r="J123" s="43">
        <v>2.2000000000000002</v>
      </c>
      <c r="K123" s="43">
        <v>6.2</v>
      </c>
      <c r="L123" s="43">
        <v>9.8000000000000007</v>
      </c>
    </row>
    <row r="124" spans="1:12" ht="15" customHeight="1" x14ac:dyDescent="0.25">
      <c r="A124" s="35" t="s">
        <v>185</v>
      </c>
      <c r="B124" s="43">
        <v>43.8</v>
      </c>
      <c r="C124" s="43">
        <v>2.5</v>
      </c>
      <c r="D124" s="43">
        <v>5.8</v>
      </c>
      <c r="E124" s="43">
        <v>6.6</v>
      </c>
      <c r="F124" s="43">
        <v>0.5</v>
      </c>
      <c r="G124" s="43">
        <v>7.1</v>
      </c>
      <c r="H124" s="43">
        <v>6.6</v>
      </c>
      <c r="I124" s="43">
        <v>10.199999999999999</v>
      </c>
      <c r="J124" s="43">
        <v>2.1</v>
      </c>
      <c r="K124" s="43">
        <v>4.0999999999999996</v>
      </c>
      <c r="L124" s="43">
        <v>8.3000000000000007</v>
      </c>
    </row>
    <row r="125" spans="1:12" ht="15" customHeight="1" x14ac:dyDescent="0.25">
      <c r="A125" s="41" t="s">
        <v>186</v>
      </c>
      <c r="B125" s="43">
        <v>33.5</v>
      </c>
      <c r="C125" s="43">
        <v>1.8</v>
      </c>
      <c r="D125" s="43">
        <v>6.9</v>
      </c>
      <c r="E125" s="43">
        <v>4.5</v>
      </c>
      <c r="F125" s="43">
        <v>0.3</v>
      </c>
      <c r="G125" s="43">
        <v>8.5</v>
      </c>
      <c r="H125" s="43">
        <v>2</v>
      </c>
      <c r="I125" s="43">
        <v>5.3</v>
      </c>
      <c r="J125" s="43">
        <v>1.1000000000000001</v>
      </c>
      <c r="K125" s="43">
        <v>3.3</v>
      </c>
      <c r="L125" s="43">
        <v>7.7</v>
      </c>
    </row>
    <row r="126" spans="1:12" ht="15" customHeight="1" x14ac:dyDescent="0.25">
      <c r="A126" s="41" t="s">
        <v>187</v>
      </c>
      <c r="B126" s="37">
        <v>79.8</v>
      </c>
      <c r="C126" s="37">
        <v>2.5</v>
      </c>
      <c r="D126" s="37">
        <v>14</v>
      </c>
      <c r="E126" s="37">
        <v>16.5</v>
      </c>
      <c r="F126" s="37">
        <v>0.2</v>
      </c>
      <c r="G126" s="37">
        <v>12.8</v>
      </c>
      <c r="H126" s="37">
        <v>2</v>
      </c>
      <c r="I126" s="37">
        <v>5.7</v>
      </c>
      <c r="J126" s="37">
        <v>2.5</v>
      </c>
      <c r="K126" s="37">
        <v>15.9</v>
      </c>
      <c r="L126" s="37">
        <v>13.2</v>
      </c>
    </row>
    <row r="127" spans="1:12" ht="15" customHeight="1" x14ac:dyDescent="0.25">
      <c r="A127" s="41" t="s">
        <v>173</v>
      </c>
      <c r="B127" s="37">
        <v>54.7</v>
      </c>
      <c r="C127" s="37">
        <v>2.2999999999999998</v>
      </c>
      <c r="D127" s="37">
        <v>9.1</v>
      </c>
      <c r="E127" s="37">
        <v>7.7</v>
      </c>
      <c r="F127" s="37">
        <v>0.5</v>
      </c>
      <c r="G127" s="37">
        <v>7.6</v>
      </c>
      <c r="H127" s="37" t="s">
        <v>28</v>
      </c>
      <c r="I127" s="37">
        <v>15.9</v>
      </c>
      <c r="J127" s="37">
        <v>1.6</v>
      </c>
      <c r="K127" s="37">
        <v>5</v>
      </c>
      <c r="L127" s="37">
        <v>10.3</v>
      </c>
    </row>
    <row r="128" spans="1:12" ht="15" customHeight="1" x14ac:dyDescent="0.25">
      <c r="A128" s="41" t="s">
        <v>188</v>
      </c>
      <c r="B128" s="37">
        <v>44.7</v>
      </c>
      <c r="C128" s="37">
        <v>1.3</v>
      </c>
      <c r="D128" s="37">
        <v>5.3</v>
      </c>
      <c r="E128" s="37">
        <v>8.1999999999999993</v>
      </c>
      <c r="F128" s="37">
        <v>0.2</v>
      </c>
      <c r="G128" s="37">
        <v>8</v>
      </c>
      <c r="H128" s="37" t="s">
        <v>28</v>
      </c>
      <c r="I128" s="37">
        <v>7.2</v>
      </c>
      <c r="J128" s="37">
        <v>1.7</v>
      </c>
      <c r="K128" s="37">
        <v>4</v>
      </c>
      <c r="L128" s="37">
        <v>9.4</v>
      </c>
    </row>
    <row r="129" spans="1:12" ht="24" customHeight="1" x14ac:dyDescent="0.25">
      <c r="A129" s="40" t="s">
        <v>189</v>
      </c>
      <c r="B129" s="46" t="s">
        <v>16</v>
      </c>
      <c r="C129" s="46" t="s">
        <v>16</v>
      </c>
      <c r="D129" s="46" t="s">
        <v>16</v>
      </c>
      <c r="E129" s="46" t="s">
        <v>16</v>
      </c>
      <c r="F129" s="46" t="s">
        <v>16</v>
      </c>
      <c r="G129" s="46" t="s">
        <v>16</v>
      </c>
      <c r="H129" s="46" t="s">
        <v>16</v>
      </c>
      <c r="I129" s="46" t="s">
        <v>16</v>
      </c>
      <c r="J129" s="46" t="s">
        <v>16</v>
      </c>
      <c r="K129" s="46" t="s">
        <v>16</v>
      </c>
      <c r="L129" s="46" t="s">
        <v>16</v>
      </c>
    </row>
    <row r="130" spans="1:12" ht="15" customHeight="1" x14ac:dyDescent="0.25">
      <c r="A130" s="41" t="s">
        <v>190</v>
      </c>
      <c r="B130" s="43">
        <v>38.4</v>
      </c>
      <c r="C130" s="43">
        <v>1.8</v>
      </c>
      <c r="D130" s="43">
        <v>7.4</v>
      </c>
      <c r="E130" s="43">
        <v>4.8</v>
      </c>
      <c r="F130" s="43">
        <v>0.3</v>
      </c>
      <c r="G130" s="43">
        <v>8</v>
      </c>
      <c r="H130" s="43">
        <v>3.7</v>
      </c>
      <c r="I130" s="43">
        <v>8.5</v>
      </c>
      <c r="J130" s="43">
        <v>1.6</v>
      </c>
      <c r="K130" s="43">
        <v>3.5</v>
      </c>
      <c r="L130" s="43">
        <v>7.5</v>
      </c>
    </row>
    <row r="131" spans="1:12" ht="15" customHeight="1" x14ac:dyDescent="0.25">
      <c r="A131" s="35" t="s">
        <v>191</v>
      </c>
      <c r="B131" s="37">
        <v>56.2</v>
      </c>
      <c r="C131" s="37">
        <v>2</v>
      </c>
      <c r="D131" s="37">
        <v>8.5</v>
      </c>
      <c r="E131" s="37">
        <v>9.6999999999999993</v>
      </c>
      <c r="F131" s="37">
        <v>0.5</v>
      </c>
      <c r="G131" s="37">
        <v>9.6</v>
      </c>
      <c r="H131" s="37">
        <v>3.5</v>
      </c>
      <c r="I131" s="37">
        <v>9.6999999999999993</v>
      </c>
      <c r="J131" s="37">
        <v>2.2000000000000002</v>
      </c>
      <c r="K131" s="37">
        <v>5.8</v>
      </c>
      <c r="L131" s="37">
        <v>10.1</v>
      </c>
    </row>
    <row r="132" spans="1:12" ht="15" customHeight="1" x14ac:dyDescent="0.25">
      <c r="A132" s="35" t="s">
        <v>192</v>
      </c>
      <c r="B132" s="43">
        <v>54</v>
      </c>
      <c r="C132" s="43">
        <v>1.5</v>
      </c>
      <c r="D132" s="43">
        <v>9.5</v>
      </c>
      <c r="E132" s="43">
        <v>9.5</v>
      </c>
      <c r="F132" s="43">
        <v>0.6</v>
      </c>
      <c r="G132" s="43">
        <v>9.4</v>
      </c>
      <c r="H132" s="43">
        <v>3.5</v>
      </c>
      <c r="I132" s="43">
        <v>8.6999999999999993</v>
      </c>
      <c r="J132" s="43">
        <v>2</v>
      </c>
      <c r="K132" s="43">
        <v>5.8</v>
      </c>
      <c r="L132" s="43">
        <v>9.1999999999999993</v>
      </c>
    </row>
    <row r="133" spans="1:12" ht="15" customHeight="1" x14ac:dyDescent="0.25">
      <c r="A133" s="41" t="s">
        <v>193</v>
      </c>
      <c r="B133" s="43">
        <v>47.3</v>
      </c>
      <c r="C133" s="43">
        <v>1.5</v>
      </c>
      <c r="D133" s="43">
        <v>8</v>
      </c>
      <c r="E133" s="43">
        <v>7.4</v>
      </c>
      <c r="F133" s="43">
        <v>0.9</v>
      </c>
      <c r="G133" s="43">
        <v>7</v>
      </c>
      <c r="H133" s="43">
        <v>4.4000000000000004</v>
      </c>
      <c r="I133" s="43">
        <v>8.8000000000000007</v>
      </c>
      <c r="J133" s="43">
        <v>3</v>
      </c>
      <c r="K133" s="43">
        <v>5.0999999999999996</v>
      </c>
      <c r="L133" s="43">
        <v>9.6</v>
      </c>
    </row>
    <row r="134" spans="1:12" ht="27.95" customHeight="1" x14ac:dyDescent="0.25">
      <c r="A134" s="41" t="s">
        <v>194</v>
      </c>
      <c r="B134" s="43">
        <v>42.8</v>
      </c>
      <c r="C134" s="43">
        <v>0.9</v>
      </c>
      <c r="D134" s="43">
        <v>6.2</v>
      </c>
      <c r="E134" s="43">
        <v>5.6</v>
      </c>
      <c r="F134" s="43">
        <v>0.6</v>
      </c>
      <c r="G134" s="43">
        <v>6.3</v>
      </c>
      <c r="H134" s="43">
        <v>11.4</v>
      </c>
      <c r="I134" s="43">
        <v>13.7</v>
      </c>
      <c r="J134" s="43">
        <v>2.4</v>
      </c>
      <c r="K134" s="43">
        <v>3.4</v>
      </c>
      <c r="L134" s="43">
        <v>7.3</v>
      </c>
    </row>
    <row r="135" spans="1:12" ht="27.95" customHeight="1" x14ac:dyDescent="0.25">
      <c r="A135" s="41" t="s">
        <v>195</v>
      </c>
      <c r="B135" s="43">
        <v>45.7</v>
      </c>
      <c r="C135" s="43">
        <v>1.9</v>
      </c>
      <c r="D135" s="43">
        <v>7</v>
      </c>
      <c r="E135" s="43">
        <v>6.9</v>
      </c>
      <c r="F135" s="43">
        <v>0.6</v>
      </c>
      <c r="G135" s="43">
        <v>7.4</v>
      </c>
      <c r="H135" s="43">
        <v>4.4000000000000004</v>
      </c>
      <c r="I135" s="43">
        <v>8.9</v>
      </c>
      <c r="J135" s="43">
        <v>2.5</v>
      </c>
      <c r="K135" s="43">
        <v>4.2</v>
      </c>
      <c r="L135" s="43">
        <v>8.5</v>
      </c>
    </row>
    <row r="136" spans="1:12" ht="15" customHeight="1" x14ac:dyDescent="0.25">
      <c r="A136" s="41" t="s">
        <v>196</v>
      </c>
      <c r="B136" s="37">
        <v>64.5</v>
      </c>
      <c r="C136" s="37">
        <v>1.1000000000000001</v>
      </c>
      <c r="D136" s="37">
        <v>13.4</v>
      </c>
      <c r="E136" s="37">
        <v>11.2</v>
      </c>
      <c r="F136" s="37" t="s">
        <v>28</v>
      </c>
      <c r="G136" s="37">
        <v>10.3</v>
      </c>
      <c r="H136" s="37">
        <v>2.2000000000000002</v>
      </c>
      <c r="I136" s="37">
        <v>8.3000000000000007</v>
      </c>
      <c r="J136" s="37">
        <v>2.4</v>
      </c>
      <c r="K136" s="37">
        <v>11</v>
      </c>
      <c r="L136" s="37">
        <v>11.1</v>
      </c>
    </row>
    <row r="137" spans="1:12" ht="15" customHeight="1" x14ac:dyDescent="0.25">
      <c r="A137" s="41" t="s">
        <v>173</v>
      </c>
      <c r="B137" s="37">
        <v>53.8</v>
      </c>
      <c r="C137" s="37">
        <v>0.7</v>
      </c>
      <c r="D137" s="37">
        <v>9</v>
      </c>
      <c r="E137" s="37">
        <v>7.8</v>
      </c>
      <c r="F137" s="37" t="s">
        <v>28</v>
      </c>
      <c r="G137" s="37">
        <v>7.7</v>
      </c>
      <c r="H137" s="37" t="s">
        <v>28</v>
      </c>
      <c r="I137" s="37">
        <v>14.7</v>
      </c>
      <c r="J137" s="37">
        <v>1.6</v>
      </c>
      <c r="K137" s="37">
        <v>3.3</v>
      </c>
      <c r="L137" s="37">
        <v>10.1</v>
      </c>
    </row>
    <row r="138" spans="1:12" ht="15" customHeight="1" x14ac:dyDescent="0.25">
      <c r="A138" s="41" t="s">
        <v>188</v>
      </c>
      <c r="B138" s="37">
        <v>27.4</v>
      </c>
      <c r="C138" s="37">
        <v>1.2</v>
      </c>
      <c r="D138" s="37">
        <v>4.0999999999999996</v>
      </c>
      <c r="E138" s="37">
        <v>3.8</v>
      </c>
      <c r="F138" s="37" t="s">
        <v>28</v>
      </c>
      <c r="G138" s="37">
        <v>5.4</v>
      </c>
      <c r="H138" s="37" t="s">
        <v>28</v>
      </c>
      <c r="I138" s="37" t="s">
        <v>28</v>
      </c>
      <c r="J138" s="37">
        <v>1</v>
      </c>
      <c r="K138" s="37">
        <v>2.7</v>
      </c>
      <c r="L138" s="37">
        <v>6.7</v>
      </c>
    </row>
    <row r="139" spans="1:12" ht="24" customHeight="1" x14ac:dyDescent="0.25">
      <c r="A139" s="40" t="s">
        <v>197</v>
      </c>
      <c r="B139" s="46" t="s">
        <v>16</v>
      </c>
      <c r="C139" s="46" t="s">
        <v>16</v>
      </c>
      <c r="D139" s="46" t="s">
        <v>16</v>
      </c>
      <c r="E139" s="46" t="s">
        <v>16</v>
      </c>
      <c r="F139" s="46" t="s">
        <v>16</v>
      </c>
      <c r="G139" s="46" t="s">
        <v>16</v>
      </c>
      <c r="H139" s="46" t="s">
        <v>16</v>
      </c>
      <c r="I139" s="46" t="s">
        <v>16</v>
      </c>
      <c r="J139" s="46" t="s">
        <v>16</v>
      </c>
      <c r="K139" s="46" t="s">
        <v>16</v>
      </c>
      <c r="L139" s="46" t="s">
        <v>16</v>
      </c>
    </row>
    <row r="140" spans="1:12" ht="15" customHeight="1" x14ac:dyDescent="0.25">
      <c r="A140" s="35" t="s">
        <v>198</v>
      </c>
      <c r="B140" s="43" t="s">
        <v>16</v>
      </c>
      <c r="C140" s="43" t="s">
        <v>16</v>
      </c>
      <c r="D140" s="43" t="s">
        <v>16</v>
      </c>
      <c r="E140" s="43" t="s">
        <v>16</v>
      </c>
      <c r="F140" s="43" t="s">
        <v>16</v>
      </c>
      <c r="G140" s="43" t="s">
        <v>16</v>
      </c>
      <c r="H140" s="43" t="s">
        <v>16</v>
      </c>
      <c r="I140" s="43" t="s">
        <v>16</v>
      </c>
      <c r="J140" s="43" t="s">
        <v>16</v>
      </c>
      <c r="K140" s="43" t="s">
        <v>16</v>
      </c>
      <c r="L140" s="43" t="s">
        <v>16</v>
      </c>
    </row>
    <row r="141" spans="1:12" ht="15" customHeight="1" x14ac:dyDescent="0.25">
      <c r="A141" s="39" t="s">
        <v>199</v>
      </c>
      <c r="B141" s="43">
        <v>56</v>
      </c>
      <c r="C141" s="43">
        <v>1.7</v>
      </c>
      <c r="D141" s="43">
        <v>9.5</v>
      </c>
      <c r="E141" s="43">
        <v>9.6999999999999993</v>
      </c>
      <c r="F141" s="43">
        <v>0.5</v>
      </c>
      <c r="G141" s="43">
        <v>9.8000000000000007</v>
      </c>
      <c r="H141" s="43">
        <v>3.8</v>
      </c>
      <c r="I141" s="43">
        <v>8.8000000000000007</v>
      </c>
      <c r="J141" s="43">
        <v>2.2000000000000002</v>
      </c>
      <c r="K141" s="43">
        <v>5.9</v>
      </c>
      <c r="L141" s="43">
        <v>9.9</v>
      </c>
    </row>
    <row r="142" spans="1:12" ht="15" customHeight="1" x14ac:dyDescent="0.25">
      <c r="A142" s="39" t="s">
        <v>200</v>
      </c>
      <c r="B142" s="43">
        <v>44.2</v>
      </c>
      <c r="C142" s="43">
        <v>1.7</v>
      </c>
      <c r="D142" s="43">
        <v>6.8</v>
      </c>
      <c r="E142" s="43">
        <v>6.3</v>
      </c>
      <c r="F142" s="43">
        <v>0.5</v>
      </c>
      <c r="G142" s="43">
        <v>7.8</v>
      </c>
      <c r="H142" s="43">
        <v>3.9</v>
      </c>
      <c r="I142" s="43">
        <v>11.2</v>
      </c>
      <c r="J142" s="43">
        <v>1.9</v>
      </c>
      <c r="K142" s="43">
        <v>4.3</v>
      </c>
      <c r="L142" s="43">
        <v>7.9</v>
      </c>
    </row>
    <row r="143" spans="1:12" ht="15" customHeight="1" x14ac:dyDescent="0.25">
      <c r="A143" s="39" t="s">
        <v>201</v>
      </c>
      <c r="B143" s="43">
        <v>37.799999999999997</v>
      </c>
      <c r="C143" s="43">
        <v>1.9</v>
      </c>
      <c r="D143" s="43">
        <v>6.3</v>
      </c>
      <c r="E143" s="43">
        <v>5.5</v>
      </c>
      <c r="F143" s="43">
        <v>0.5</v>
      </c>
      <c r="G143" s="43">
        <v>5.8</v>
      </c>
      <c r="H143" s="43">
        <v>3.3</v>
      </c>
      <c r="I143" s="43">
        <v>6.7</v>
      </c>
      <c r="J143" s="43">
        <v>2.5</v>
      </c>
      <c r="K143" s="43">
        <v>3.7</v>
      </c>
      <c r="L143" s="43">
        <v>7.9</v>
      </c>
    </row>
    <row r="144" spans="1:12" ht="15" customHeight="1" x14ac:dyDescent="0.25">
      <c r="A144" s="41" t="s">
        <v>202</v>
      </c>
      <c r="B144" s="43">
        <v>57.2</v>
      </c>
      <c r="C144" s="43">
        <v>1.5</v>
      </c>
      <c r="D144" s="43">
        <v>9.5</v>
      </c>
      <c r="E144" s="43">
        <v>9.5</v>
      </c>
      <c r="F144" s="43">
        <v>0.6</v>
      </c>
      <c r="G144" s="43">
        <v>9.6999999999999993</v>
      </c>
      <c r="H144" s="43">
        <v>3.1</v>
      </c>
      <c r="I144" s="43">
        <v>10.3</v>
      </c>
      <c r="J144" s="43">
        <v>2.1</v>
      </c>
      <c r="K144" s="43">
        <v>6</v>
      </c>
      <c r="L144" s="43">
        <v>9.8000000000000007</v>
      </c>
    </row>
    <row r="145" spans="1:12" ht="45.95" customHeight="1" x14ac:dyDescent="0.25">
      <c r="A145" s="40" t="s">
        <v>203</v>
      </c>
      <c r="B145" s="46" t="s">
        <v>16</v>
      </c>
      <c r="C145" s="46" t="s">
        <v>16</v>
      </c>
      <c r="D145" s="46" t="s">
        <v>16</v>
      </c>
      <c r="E145" s="46" t="s">
        <v>16</v>
      </c>
      <c r="F145" s="46" t="s">
        <v>16</v>
      </c>
      <c r="G145" s="46" t="s">
        <v>16</v>
      </c>
      <c r="H145" s="46" t="s">
        <v>16</v>
      </c>
      <c r="I145" s="46" t="s">
        <v>16</v>
      </c>
      <c r="J145" s="46" t="s">
        <v>16</v>
      </c>
      <c r="K145" s="46" t="s">
        <v>16</v>
      </c>
      <c r="L145" s="46" t="s">
        <v>16</v>
      </c>
    </row>
    <row r="146" spans="1:12" ht="15" customHeight="1" x14ac:dyDescent="0.25">
      <c r="A146" s="35" t="s">
        <v>204</v>
      </c>
      <c r="B146" s="43">
        <v>52.8</v>
      </c>
      <c r="C146" s="43">
        <v>1.8</v>
      </c>
      <c r="D146" s="43">
        <v>8.6</v>
      </c>
      <c r="E146" s="43">
        <v>8.9</v>
      </c>
      <c r="F146" s="43">
        <v>0.5</v>
      </c>
      <c r="G146" s="43">
        <v>8.9</v>
      </c>
      <c r="H146" s="43">
        <v>3.5</v>
      </c>
      <c r="I146" s="43">
        <v>8.4</v>
      </c>
      <c r="J146" s="43">
        <v>2.2000000000000002</v>
      </c>
      <c r="K146" s="43">
        <v>5.7</v>
      </c>
      <c r="L146" s="43">
        <v>9.6</v>
      </c>
    </row>
    <row r="147" spans="1:12" ht="15" customHeight="1" x14ac:dyDescent="0.25">
      <c r="A147" s="39" t="s">
        <v>205</v>
      </c>
      <c r="B147" s="43">
        <v>53.8</v>
      </c>
      <c r="C147" s="43">
        <v>1.8</v>
      </c>
      <c r="D147" s="43">
        <v>10.199999999999999</v>
      </c>
      <c r="E147" s="43">
        <v>8.6999999999999993</v>
      </c>
      <c r="F147" s="43">
        <v>0.6</v>
      </c>
      <c r="G147" s="43">
        <v>9.1</v>
      </c>
      <c r="H147" s="43">
        <v>2.5</v>
      </c>
      <c r="I147" s="43">
        <v>6.9</v>
      </c>
      <c r="J147" s="43">
        <v>2.5</v>
      </c>
      <c r="K147" s="43">
        <v>4.5999999999999996</v>
      </c>
      <c r="L147" s="43">
        <v>10.5</v>
      </c>
    </row>
    <row r="148" spans="1:12" ht="15" customHeight="1" x14ac:dyDescent="0.25">
      <c r="A148" s="39" t="s">
        <v>206</v>
      </c>
      <c r="B148" s="43">
        <v>70</v>
      </c>
      <c r="C148" s="43">
        <v>1.3</v>
      </c>
      <c r="D148" s="43">
        <v>13.5</v>
      </c>
      <c r="E148" s="43">
        <v>13.2</v>
      </c>
      <c r="F148" s="43">
        <v>0.4</v>
      </c>
      <c r="G148" s="43">
        <v>13</v>
      </c>
      <c r="H148" s="43">
        <v>3.2</v>
      </c>
      <c r="I148" s="43">
        <v>11</v>
      </c>
      <c r="J148" s="43">
        <v>2.2000000000000002</v>
      </c>
      <c r="K148" s="43">
        <v>5.6</v>
      </c>
      <c r="L148" s="43">
        <v>12.1</v>
      </c>
    </row>
    <row r="149" spans="1:12" ht="15" customHeight="1" x14ac:dyDescent="0.25">
      <c r="A149" s="39" t="s">
        <v>207</v>
      </c>
      <c r="B149" s="43">
        <v>54.1</v>
      </c>
      <c r="C149" s="43">
        <v>1.8</v>
      </c>
      <c r="D149" s="43">
        <v>8.9</v>
      </c>
      <c r="E149" s="43">
        <v>9.5</v>
      </c>
      <c r="F149" s="43">
        <v>0.6</v>
      </c>
      <c r="G149" s="43">
        <v>9.1999999999999993</v>
      </c>
      <c r="H149" s="43">
        <v>3.3</v>
      </c>
      <c r="I149" s="43">
        <v>7.5</v>
      </c>
      <c r="J149" s="43">
        <v>2.1</v>
      </c>
      <c r="K149" s="43">
        <v>5.9</v>
      </c>
      <c r="L149" s="43">
        <v>10</v>
      </c>
    </row>
    <row r="150" spans="1:12" ht="15" customHeight="1" x14ac:dyDescent="0.25">
      <c r="A150" s="39" t="s">
        <v>208</v>
      </c>
      <c r="B150" s="37">
        <v>56.8</v>
      </c>
      <c r="C150" s="37">
        <v>2.1</v>
      </c>
      <c r="D150" s="37">
        <v>9.6999999999999993</v>
      </c>
      <c r="E150" s="37">
        <v>9.1</v>
      </c>
      <c r="F150" s="37">
        <v>0.7</v>
      </c>
      <c r="G150" s="37">
        <v>8.6999999999999993</v>
      </c>
      <c r="H150" s="37">
        <v>3</v>
      </c>
      <c r="I150" s="37">
        <v>8.9</v>
      </c>
      <c r="J150" s="37">
        <v>2</v>
      </c>
      <c r="K150" s="37">
        <v>6.8</v>
      </c>
      <c r="L150" s="37">
        <v>9.9</v>
      </c>
    </row>
    <row r="151" spans="1:12" ht="15" customHeight="1" x14ac:dyDescent="0.25">
      <c r="A151" s="39" t="s">
        <v>209</v>
      </c>
      <c r="B151" s="37">
        <v>57.2</v>
      </c>
      <c r="C151" s="37">
        <v>1.8</v>
      </c>
      <c r="D151" s="37">
        <v>9.4</v>
      </c>
      <c r="E151" s="37">
        <v>10.4</v>
      </c>
      <c r="F151" s="37">
        <v>0.5</v>
      </c>
      <c r="G151" s="37">
        <v>9.5</v>
      </c>
      <c r="H151" s="37">
        <v>2.9</v>
      </c>
      <c r="I151" s="37">
        <v>7.3</v>
      </c>
      <c r="J151" s="37">
        <v>2.2999999999999998</v>
      </c>
      <c r="K151" s="37">
        <v>7.5</v>
      </c>
      <c r="L151" s="37">
        <v>10.1</v>
      </c>
    </row>
    <row r="152" spans="1:12" ht="15" customHeight="1" x14ac:dyDescent="0.25">
      <c r="A152" s="39" t="s">
        <v>210</v>
      </c>
      <c r="B152" s="37">
        <v>49</v>
      </c>
      <c r="C152" s="37">
        <v>1.7</v>
      </c>
      <c r="D152" s="37">
        <v>8.1999999999999993</v>
      </c>
      <c r="E152" s="37">
        <v>8.3000000000000007</v>
      </c>
      <c r="F152" s="37">
        <v>0.5</v>
      </c>
      <c r="G152" s="37">
        <v>8</v>
      </c>
      <c r="H152" s="37">
        <v>3.5</v>
      </c>
      <c r="I152" s="37">
        <v>5.7</v>
      </c>
      <c r="J152" s="37">
        <v>2.5</v>
      </c>
      <c r="K152" s="37">
        <v>6.3</v>
      </c>
      <c r="L152" s="37">
        <v>9.1</v>
      </c>
    </row>
    <row r="153" spans="1:12" ht="15" customHeight="1" x14ac:dyDescent="0.25">
      <c r="A153" s="39" t="s">
        <v>211</v>
      </c>
      <c r="B153" s="37">
        <v>55.4</v>
      </c>
      <c r="C153" s="37">
        <v>1.8</v>
      </c>
      <c r="D153" s="37">
        <v>9.3000000000000007</v>
      </c>
      <c r="E153" s="37">
        <v>9.5</v>
      </c>
      <c r="F153" s="37">
        <v>0.5</v>
      </c>
      <c r="G153" s="37">
        <v>9.1999999999999993</v>
      </c>
      <c r="H153" s="37">
        <v>3</v>
      </c>
      <c r="I153" s="37">
        <v>8</v>
      </c>
      <c r="J153" s="37">
        <v>2.2000000000000002</v>
      </c>
      <c r="K153" s="37">
        <v>6.1</v>
      </c>
      <c r="L153" s="37">
        <v>10</v>
      </c>
    </row>
    <row r="154" spans="1:12" ht="15" customHeight="1" x14ac:dyDescent="0.25">
      <c r="A154" s="39" t="s">
        <v>212</v>
      </c>
      <c r="B154" s="37">
        <v>55</v>
      </c>
      <c r="C154" s="37">
        <v>1.7</v>
      </c>
      <c r="D154" s="37">
        <v>9</v>
      </c>
      <c r="E154" s="37">
        <v>9.3000000000000007</v>
      </c>
      <c r="F154" s="37">
        <v>0.5</v>
      </c>
      <c r="G154" s="37">
        <v>9</v>
      </c>
      <c r="H154" s="37">
        <v>3.6</v>
      </c>
      <c r="I154" s="37">
        <v>8.6999999999999993</v>
      </c>
      <c r="J154" s="37">
        <v>2.2000000000000002</v>
      </c>
      <c r="K154" s="37">
        <v>5.9</v>
      </c>
      <c r="L154" s="37">
        <v>9.6999999999999993</v>
      </c>
    </row>
    <row r="155" spans="1:12" ht="15" customHeight="1" x14ac:dyDescent="0.25">
      <c r="A155" s="39" t="s">
        <v>213</v>
      </c>
      <c r="B155" s="37">
        <v>56.1</v>
      </c>
      <c r="C155" s="37">
        <v>1.8</v>
      </c>
      <c r="D155" s="37">
        <v>9.5</v>
      </c>
      <c r="E155" s="37">
        <v>9.4</v>
      </c>
      <c r="F155" s="37">
        <v>0.6</v>
      </c>
      <c r="G155" s="37">
        <v>9</v>
      </c>
      <c r="H155" s="37">
        <v>3.6</v>
      </c>
      <c r="I155" s="37">
        <v>8.1999999999999993</v>
      </c>
      <c r="J155" s="37">
        <v>2.2999999999999998</v>
      </c>
      <c r="K155" s="37">
        <v>6.5</v>
      </c>
      <c r="L155" s="37">
        <v>10.4</v>
      </c>
    </row>
    <row r="156" spans="1:12" ht="15" customHeight="1" x14ac:dyDescent="0.25">
      <c r="A156" s="39" t="s">
        <v>214</v>
      </c>
      <c r="B156" s="37">
        <v>54.9</v>
      </c>
      <c r="C156" s="37">
        <v>1.7</v>
      </c>
      <c r="D156" s="37">
        <v>8.8000000000000007</v>
      </c>
      <c r="E156" s="37">
        <v>9.5</v>
      </c>
      <c r="F156" s="37">
        <v>0.6</v>
      </c>
      <c r="G156" s="37">
        <v>8.5</v>
      </c>
      <c r="H156" s="37">
        <v>4</v>
      </c>
      <c r="I156" s="37">
        <v>7.6</v>
      </c>
      <c r="J156" s="37">
        <v>2.6</v>
      </c>
      <c r="K156" s="37">
        <v>6.5</v>
      </c>
      <c r="L156" s="37">
        <v>10.1</v>
      </c>
    </row>
    <row r="157" spans="1:12" ht="15" customHeight="1" x14ac:dyDescent="0.25">
      <c r="A157" s="39" t="s">
        <v>215</v>
      </c>
      <c r="B157" s="37">
        <v>56.8</v>
      </c>
      <c r="C157" s="37">
        <v>1.9</v>
      </c>
      <c r="D157" s="37">
        <v>9.5</v>
      </c>
      <c r="E157" s="37">
        <v>8.8000000000000007</v>
      </c>
      <c r="F157" s="37">
        <v>0.6</v>
      </c>
      <c r="G157" s="37">
        <v>8.4</v>
      </c>
      <c r="H157" s="37">
        <v>3.6</v>
      </c>
      <c r="I157" s="37">
        <v>9.8000000000000007</v>
      </c>
      <c r="J157" s="37">
        <v>2.6</v>
      </c>
      <c r="K157" s="37">
        <v>7.1</v>
      </c>
      <c r="L157" s="37">
        <v>10.1</v>
      </c>
    </row>
    <row r="158" spans="1:12" ht="15" customHeight="1" x14ac:dyDescent="0.25">
      <c r="A158" s="39" t="s">
        <v>216</v>
      </c>
      <c r="B158" s="37">
        <v>56.1</v>
      </c>
      <c r="C158" s="37">
        <v>1.8</v>
      </c>
      <c r="D158" s="37">
        <v>9.9</v>
      </c>
      <c r="E158" s="37">
        <v>9.6999999999999993</v>
      </c>
      <c r="F158" s="37">
        <v>0.5</v>
      </c>
      <c r="G158" s="37">
        <v>8.8000000000000007</v>
      </c>
      <c r="H158" s="37">
        <v>3.5</v>
      </c>
      <c r="I158" s="37">
        <v>7.4</v>
      </c>
      <c r="J158" s="37">
        <v>2.2999999999999998</v>
      </c>
      <c r="K158" s="37">
        <v>6.8</v>
      </c>
      <c r="L158" s="37">
        <v>10</v>
      </c>
    </row>
    <row r="159" spans="1:12" ht="15" customHeight="1" x14ac:dyDescent="0.25">
      <c r="A159" s="39" t="s">
        <v>217</v>
      </c>
      <c r="B159" s="37">
        <v>60</v>
      </c>
      <c r="C159" s="37">
        <v>1.6</v>
      </c>
      <c r="D159" s="37">
        <v>11.6</v>
      </c>
      <c r="E159" s="37">
        <v>9</v>
      </c>
      <c r="F159" s="37">
        <v>0.4</v>
      </c>
      <c r="G159" s="37">
        <v>8.9</v>
      </c>
      <c r="H159" s="37">
        <v>3</v>
      </c>
      <c r="I159" s="37">
        <v>8.1999999999999993</v>
      </c>
      <c r="J159" s="37">
        <v>2.9</v>
      </c>
      <c r="K159" s="37">
        <v>7.7</v>
      </c>
      <c r="L159" s="37">
        <v>11.7</v>
      </c>
    </row>
    <row r="160" spans="1:12" ht="15" customHeight="1" x14ac:dyDescent="0.25">
      <c r="A160" s="39" t="s">
        <v>173</v>
      </c>
      <c r="B160" s="37">
        <v>52.2</v>
      </c>
      <c r="C160" s="37">
        <v>1.3</v>
      </c>
      <c r="D160" s="37">
        <v>10.7</v>
      </c>
      <c r="E160" s="37">
        <v>10.5</v>
      </c>
      <c r="F160" s="37">
        <v>0.3</v>
      </c>
      <c r="G160" s="37">
        <v>9.1999999999999993</v>
      </c>
      <c r="H160" s="37" t="s">
        <v>28</v>
      </c>
      <c r="I160" s="37">
        <v>4.5</v>
      </c>
      <c r="J160" s="37">
        <v>2.1</v>
      </c>
      <c r="K160" s="37">
        <v>7.7</v>
      </c>
      <c r="L160" s="37">
        <v>9.1</v>
      </c>
    </row>
    <row r="161" spans="1:12" ht="15" customHeight="1" x14ac:dyDescent="0.25">
      <c r="A161" s="41" t="s">
        <v>218</v>
      </c>
      <c r="B161" s="37">
        <v>46.2</v>
      </c>
      <c r="C161" s="37">
        <v>1.7</v>
      </c>
      <c r="D161" s="37">
        <v>7.9</v>
      </c>
      <c r="E161" s="37">
        <v>7.1</v>
      </c>
      <c r="F161" s="37">
        <v>0.5</v>
      </c>
      <c r="G161" s="37">
        <v>8.4</v>
      </c>
      <c r="H161" s="37">
        <v>3.8</v>
      </c>
      <c r="I161" s="37">
        <v>9.6999999999999993</v>
      </c>
      <c r="J161" s="37">
        <v>2.1</v>
      </c>
      <c r="K161" s="37">
        <v>4.5</v>
      </c>
      <c r="L161" s="37">
        <v>8.4</v>
      </c>
    </row>
    <row r="162" spans="1:12" ht="15" customHeight="1" x14ac:dyDescent="0.25">
      <c r="A162" s="41" t="s">
        <v>219</v>
      </c>
      <c r="B162" s="37">
        <v>53.7</v>
      </c>
      <c r="C162" s="37">
        <v>1.5</v>
      </c>
      <c r="D162" s="37">
        <v>8.6</v>
      </c>
      <c r="E162" s="37">
        <v>8.8000000000000007</v>
      </c>
      <c r="F162" s="37">
        <v>0.4</v>
      </c>
      <c r="G162" s="37">
        <v>9</v>
      </c>
      <c r="H162" s="37">
        <v>4.4000000000000004</v>
      </c>
      <c r="I162" s="37">
        <v>10.9</v>
      </c>
      <c r="J162" s="37">
        <v>2.2000000000000002</v>
      </c>
      <c r="K162" s="37">
        <v>4.9000000000000004</v>
      </c>
      <c r="L162" s="37">
        <v>9.6</v>
      </c>
    </row>
    <row r="163" spans="1:12" ht="33.950000000000003" customHeight="1" x14ac:dyDescent="0.25">
      <c r="A163" s="40" t="s">
        <v>220</v>
      </c>
      <c r="B163" s="46" t="s">
        <v>16</v>
      </c>
      <c r="C163" s="46" t="s">
        <v>16</v>
      </c>
      <c r="D163" s="46" t="s">
        <v>16</v>
      </c>
      <c r="E163" s="46" t="s">
        <v>16</v>
      </c>
      <c r="F163" s="46" t="s">
        <v>16</v>
      </c>
      <c r="G163" s="46" t="s">
        <v>16</v>
      </c>
      <c r="H163" s="46" t="s">
        <v>16</v>
      </c>
      <c r="I163" s="46" t="s">
        <v>16</v>
      </c>
      <c r="J163" s="46" t="s">
        <v>16</v>
      </c>
      <c r="K163" s="46" t="s">
        <v>16</v>
      </c>
      <c r="L163" s="46" t="s">
        <v>16</v>
      </c>
    </row>
    <row r="164" spans="1:12" ht="15" customHeight="1" x14ac:dyDescent="0.25">
      <c r="A164" s="35" t="s">
        <v>221</v>
      </c>
      <c r="B164" s="43">
        <v>50</v>
      </c>
      <c r="C164" s="43">
        <v>1.7</v>
      </c>
      <c r="D164" s="43">
        <v>8.3000000000000007</v>
      </c>
      <c r="E164" s="43">
        <v>8.1</v>
      </c>
      <c r="F164" s="43">
        <v>0.5</v>
      </c>
      <c r="G164" s="43">
        <v>8.6999999999999993</v>
      </c>
      <c r="H164" s="43">
        <v>3.7</v>
      </c>
      <c r="I164" s="43">
        <v>9.1</v>
      </c>
      <c r="J164" s="43">
        <v>2.1</v>
      </c>
      <c r="K164" s="43">
        <v>5.2</v>
      </c>
      <c r="L164" s="43">
        <v>9.1</v>
      </c>
    </row>
    <row r="165" spans="1:12" ht="15" customHeight="1" x14ac:dyDescent="0.25">
      <c r="A165" s="41" t="s">
        <v>222</v>
      </c>
      <c r="B165" s="43">
        <v>52.5</v>
      </c>
      <c r="C165" s="43">
        <v>1.6</v>
      </c>
      <c r="D165" s="43">
        <v>8.3000000000000007</v>
      </c>
      <c r="E165" s="43">
        <v>8.5</v>
      </c>
      <c r="F165" s="43">
        <v>0.6</v>
      </c>
      <c r="G165" s="43">
        <v>8.8000000000000007</v>
      </c>
      <c r="H165" s="43">
        <v>3.7</v>
      </c>
      <c r="I165" s="43">
        <v>9.8000000000000007</v>
      </c>
      <c r="J165" s="43">
        <v>2.2000000000000002</v>
      </c>
      <c r="K165" s="43">
        <v>5</v>
      </c>
      <c r="L165" s="43">
        <v>9.3000000000000007</v>
      </c>
    </row>
    <row r="166" spans="1:12" ht="15" customHeight="1" x14ac:dyDescent="0.25">
      <c r="A166" s="41" t="s">
        <v>223</v>
      </c>
      <c r="B166" s="43">
        <v>64.5</v>
      </c>
      <c r="C166" s="43">
        <v>1.9</v>
      </c>
      <c r="D166" s="43">
        <v>12.3</v>
      </c>
      <c r="E166" s="43">
        <v>11.3</v>
      </c>
      <c r="F166" s="43">
        <v>0.5</v>
      </c>
      <c r="G166" s="43">
        <v>11.1</v>
      </c>
      <c r="H166" s="43">
        <v>2.5</v>
      </c>
      <c r="I166" s="43">
        <v>6.1</v>
      </c>
      <c r="J166" s="43">
        <v>2.6</v>
      </c>
      <c r="K166" s="43">
        <v>8</v>
      </c>
      <c r="L166" s="43">
        <v>12.8</v>
      </c>
    </row>
    <row r="167" spans="1:12" ht="15" customHeight="1" x14ac:dyDescent="0.25">
      <c r="A167" s="35" t="s">
        <v>224</v>
      </c>
      <c r="B167" s="43">
        <v>59.1</v>
      </c>
      <c r="C167" s="43">
        <v>1.6</v>
      </c>
      <c r="D167" s="43">
        <v>7.3</v>
      </c>
      <c r="E167" s="43">
        <v>14.1</v>
      </c>
      <c r="F167" s="43">
        <v>0.6</v>
      </c>
      <c r="G167" s="43">
        <v>11.5</v>
      </c>
      <c r="H167" s="43">
        <v>2.8</v>
      </c>
      <c r="I167" s="43">
        <v>4</v>
      </c>
      <c r="J167" s="43">
        <v>3.3</v>
      </c>
      <c r="K167" s="43">
        <v>6.9</v>
      </c>
      <c r="L167" s="43">
        <v>14.1</v>
      </c>
    </row>
    <row r="168" spans="1:12" ht="15" customHeight="1" x14ac:dyDescent="0.25">
      <c r="A168" s="41" t="s">
        <v>225</v>
      </c>
      <c r="B168" s="43">
        <v>63.3</v>
      </c>
      <c r="C168" s="43">
        <v>1.8</v>
      </c>
      <c r="D168" s="43">
        <v>7.7</v>
      </c>
      <c r="E168" s="43">
        <v>14.7</v>
      </c>
      <c r="F168" s="43">
        <v>0.9</v>
      </c>
      <c r="G168" s="43">
        <v>12.8</v>
      </c>
      <c r="H168" s="43">
        <v>3.6</v>
      </c>
      <c r="I168" s="43">
        <v>4.2</v>
      </c>
      <c r="J168" s="43">
        <v>3.5</v>
      </c>
      <c r="K168" s="43">
        <v>8.8000000000000007</v>
      </c>
      <c r="L168" s="43">
        <v>15.4</v>
      </c>
    </row>
    <row r="169" spans="1:12" ht="15" customHeight="1" x14ac:dyDescent="0.25">
      <c r="A169" s="41" t="s">
        <v>226</v>
      </c>
      <c r="B169" s="37">
        <v>49</v>
      </c>
      <c r="C169" s="37">
        <v>2.7</v>
      </c>
      <c r="D169" s="37">
        <v>7.1</v>
      </c>
      <c r="E169" s="37">
        <v>6.3</v>
      </c>
      <c r="F169" s="37">
        <v>0.4</v>
      </c>
      <c r="G169" s="37">
        <v>8.3000000000000007</v>
      </c>
      <c r="H169" s="37">
        <v>4.2</v>
      </c>
      <c r="I169" s="37">
        <v>11.1</v>
      </c>
      <c r="J169" s="37">
        <v>2.4</v>
      </c>
      <c r="K169" s="37">
        <v>3.1</v>
      </c>
      <c r="L169" s="37">
        <v>9.6999999999999993</v>
      </c>
    </row>
    <row r="170" spans="1:12" ht="15" customHeight="1" x14ac:dyDescent="0.25">
      <c r="A170" s="41" t="s">
        <v>173</v>
      </c>
      <c r="B170" s="37">
        <v>44.7</v>
      </c>
      <c r="C170" s="37">
        <v>1.4</v>
      </c>
      <c r="D170" s="37">
        <v>7.5</v>
      </c>
      <c r="E170" s="37">
        <v>8.1999999999999993</v>
      </c>
      <c r="F170" s="37">
        <v>0.3</v>
      </c>
      <c r="G170" s="37">
        <v>7.9</v>
      </c>
      <c r="H170" s="37">
        <v>2</v>
      </c>
      <c r="I170" s="37">
        <v>7.1</v>
      </c>
      <c r="J170" s="37">
        <v>1.4</v>
      </c>
      <c r="K170" s="37">
        <v>4.2</v>
      </c>
      <c r="L170" s="37">
        <v>8.1</v>
      </c>
    </row>
    <row r="171" spans="1:12" ht="24" customHeight="1" x14ac:dyDescent="0.25">
      <c r="A171" s="40" t="s">
        <v>227</v>
      </c>
      <c r="B171" s="46" t="s">
        <v>16</v>
      </c>
      <c r="C171" s="46" t="s">
        <v>16</v>
      </c>
      <c r="D171" s="46" t="s">
        <v>16</v>
      </c>
      <c r="E171" s="46" t="s">
        <v>16</v>
      </c>
      <c r="F171" s="46" t="s">
        <v>16</v>
      </c>
      <c r="G171" s="46" t="s">
        <v>16</v>
      </c>
      <c r="H171" s="46" t="s">
        <v>16</v>
      </c>
      <c r="I171" s="46" t="s">
        <v>16</v>
      </c>
      <c r="J171" s="46" t="s">
        <v>16</v>
      </c>
      <c r="K171" s="46" t="s">
        <v>16</v>
      </c>
      <c r="L171" s="46" t="s">
        <v>16</v>
      </c>
    </row>
    <row r="172" spans="1:12" ht="15" customHeight="1" x14ac:dyDescent="0.25">
      <c r="A172" s="35" t="s">
        <v>221</v>
      </c>
      <c r="B172" s="43">
        <v>53.9</v>
      </c>
      <c r="C172" s="43">
        <v>1.7</v>
      </c>
      <c r="D172" s="43">
        <v>8.8000000000000007</v>
      </c>
      <c r="E172" s="43">
        <v>8.3000000000000007</v>
      </c>
      <c r="F172" s="43">
        <v>0.6</v>
      </c>
      <c r="G172" s="43">
        <v>8.9</v>
      </c>
      <c r="H172" s="43">
        <v>3.5</v>
      </c>
      <c r="I172" s="43">
        <v>9.8000000000000007</v>
      </c>
      <c r="J172" s="43">
        <v>2.2000000000000002</v>
      </c>
      <c r="K172" s="43">
        <v>5.2</v>
      </c>
      <c r="L172" s="43">
        <v>9</v>
      </c>
    </row>
    <row r="173" spans="1:12" ht="15" customHeight="1" x14ac:dyDescent="0.25">
      <c r="A173" s="39" t="s">
        <v>228</v>
      </c>
      <c r="B173" s="43">
        <v>57.2</v>
      </c>
      <c r="C173" s="43">
        <v>2</v>
      </c>
      <c r="D173" s="43">
        <v>10.199999999999999</v>
      </c>
      <c r="E173" s="43">
        <v>8.1999999999999993</v>
      </c>
      <c r="F173" s="43">
        <v>0.6</v>
      </c>
      <c r="G173" s="43">
        <v>9.1</v>
      </c>
      <c r="H173" s="43">
        <v>4</v>
      </c>
      <c r="I173" s="43">
        <v>10.3</v>
      </c>
      <c r="J173" s="43">
        <v>2.5</v>
      </c>
      <c r="K173" s="43">
        <v>6</v>
      </c>
      <c r="L173" s="43">
        <v>9.3000000000000007</v>
      </c>
    </row>
    <row r="174" spans="1:12" ht="15" customHeight="1" x14ac:dyDescent="0.25">
      <c r="A174" s="39" t="s">
        <v>229</v>
      </c>
      <c r="B174" s="43">
        <v>50</v>
      </c>
      <c r="C174" s="43">
        <v>1.4</v>
      </c>
      <c r="D174" s="43">
        <v>7.2</v>
      </c>
      <c r="E174" s="43">
        <v>8.4</v>
      </c>
      <c r="F174" s="43">
        <v>0.5</v>
      </c>
      <c r="G174" s="43">
        <v>8.6</v>
      </c>
      <c r="H174" s="43">
        <v>3</v>
      </c>
      <c r="I174" s="43">
        <v>9.4</v>
      </c>
      <c r="J174" s="43">
        <v>1.9</v>
      </c>
      <c r="K174" s="43">
        <v>4.4000000000000004</v>
      </c>
      <c r="L174" s="43">
        <v>8.6</v>
      </c>
    </row>
    <row r="175" spans="1:12" ht="15" customHeight="1" x14ac:dyDescent="0.25">
      <c r="A175" s="35" t="s">
        <v>230</v>
      </c>
      <c r="B175" s="43">
        <v>46.6</v>
      </c>
      <c r="C175" s="43" t="s">
        <v>127</v>
      </c>
      <c r="D175" s="43">
        <v>6.9</v>
      </c>
      <c r="E175" s="43">
        <v>8.1</v>
      </c>
      <c r="F175" s="43">
        <v>0.4</v>
      </c>
      <c r="G175" s="43">
        <v>8.5</v>
      </c>
      <c r="H175" s="43">
        <v>4.0999999999999996</v>
      </c>
      <c r="I175" s="43">
        <v>7.8</v>
      </c>
      <c r="J175" s="43">
        <v>2.1</v>
      </c>
      <c r="K175" s="43">
        <v>5.2</v>
      </c>
      <c r="L175" s="43">
        <v>9.4</v>
      </c>
    </row>
    <row r="176" spans="1:12" ht="15" customHeight="1" x14ac:dyDescent="0.25">
      <c r="A176" s="41" t="s">
        <v>231</v>
      </c>
      <c r="B176" s="37">
        <v>32</v>
      </c>
      <c r="C176" s="37" t="s">
        <v>127</v>
      </c>
      <c r="D176" s="37">
        <v>15.1</v>
      </c>
      <c r="E176" s="37">
        <v>4.5999999999999996</v>
      </c>
      <c r="F176" s="37">
        <v>0.3</v>
      </c>
      <c r="G176" s="37">
        <v>7.3</v>
      </c>
      <c r="H176" s="37">
        <v>4.2</v>
      </c>
      <c r="I176" s="37">
        <v>10.6</v>
      </c>
      <c r="J176" s="37">
        <v>1.5</v>
      </c>
      <c r="K176" s="37">
        <v>3.1</v>
      </c>
      <c r="L176" s="37">
        <v>7.7</v>
      </c>
    </row>
    <row r="177" spans="1:12" ht="33.950000000000003" customHeight="1" x14ac:dyDescent="0.25">
      <c r="A177" s="40" t="s">
        <v>232</v>
      </c>
      <c r="B177" s="46" t="s">
        <v>16</v>
      </c>
      <c r="C177" s="46" t="s">
        <v>16</v>
      </c>
      <c r="D177" s="46" t="s">
        <v>16</v>
      </c>
      <c r="E177" s="46" t="s">
        <v>16</v>
      </c>
      <c r="F177" s="46" t="s">
        <v>16</v>
      </c>
      <c r="G177" s="46" t="s">
        <v>16</v>
      </c>
      <c r="H177" s="46" t="s">
        <v>16</v>
      </c>
      <c r="I177" s="46" t="s">
        <v>16</v>
      </c>
      <c r="J177" s="46" t="s">
        <v>16</v>
      </c>
      <c r="K177" s="46" t="s">
        <v>16</v>
      </c>
      <c r="L177" s="46" t="s">
        <v>16</v>
      </c>
    </row>
    <row r="178" spans="1:12" ht="15" customHeight="1" x14ac:dyDescent="0.25">
      <c r="A178" s="35" t="s">
        <v>221</v>
      </c>
      <c r="B178" s="43">
        <v>57.2</v>
      </c>
      <c r="C178" s="43">
        <v>2</v>
      </c>
      <c r="D178" s="43">
        <v>10.199999999999999</v>
      </c>
      <c r="E178" s="43">
        <v>8.1999999999999993</v>
      </c>
      <c r="F178" s="43">
        <v>0.6</v>
      </c>
      <c r="G178" s="43">
        <v>9.1</v>
      </c>
      <c r="H178" s="43">
        <v>4</v>
      </c>
      <c r="I178" s="43">
        <v>10.3</v>
      </c>
      <c r="J178" s="43">
        <v>2.5</v>
      </c>
      <c r="K178" s="43">
        <v>6</v>
      </c>
      <c r="L178" s="43">
        <v>9.3000000000000007</v>
      </c>
    </row>
    <row r="179" spans="1:12" ht="15" customHeight="1" x14ac:dyDescent="0.25">
      <c r="A179" s="41" t="s">
        <v>222</v>
      </c>
      <c r="B179" s="43">
        <v>48.5</v>
      </c>
      <c r="C179" s="43">
        <v>1.2</v>
      </c>
      <c r="D179" s="43">
        <v>7.3</v>
      </c>
      <c r="E179" s="43">
        <v>7.9</v>
      </c>
      <c r="F179" s="43">
        <v>0.5</v>
      </c>
      <c r="G179" s="43">
        <v>8.4</v>
      </c>
      <c r="H179" s="43">
        <v>3.6</v>
      </c>
      <c r="I179" s="43">
        <v>9.3000000000000007</v>
      </c>
      <c r="J179" s="43">
        <v>1.9</v>
      </c>
      <c r="K179" s="43">
        <v>4.8</v>
      </c>
      <c r="L179" s="43">
        <v>8.6999999999999993</v>
      </c>
    </row>
    <row r="180" spans="1:12" ht="15" customHeight="1" x14ac:dyDescent="0.25">
      <c r="A180" s="41" t="s">
        <v>223</v>
      </c>
      <c r="B180" s="43">
        <v>31.8</v>
      </c>
      <c r="C180" s="43">
        <v>2.6</v>
      </c>
      <c r="D180" s="43">
        <v>4.7</v>
      </c>
      <c r="E180" s="43">
        <v>4.7</v>
      </c>
      <c r="F180" s="43">
        <v>0.3</v>
      </c>
      <c r="G180" s="43">
        <v>6.8</v>
      </c>
      <c r="H180" s="43">
        <v>1.5</v>
      </c>
      <c r="I180" s="43">
        <v>4.2</v>
      </c>
      <c r="J180" s="43">
        <v>1.7</v>
      </c>
      <c r="K180" s="43">
        <v>3.7</v>
      </c>
      <c r="L180" s="43">
        <v>7.6</v>
      </c>
    </row>
    <row r="181" spans="1:12" ht="15" customHeight="1" x14ac:dyDescent="0.25">
      <c r="A181" s="35" t="s">
        <v>224</v>
      </c>
      <c r="B181" s="43">
        <v>59.5</v>
      </c>
      <c r="C181" s="43">
        <v>1.6</v>
      </c>
      <c r="D181" s="43">
        <v>7.3</v>
      </c>
      <c r="E181" s="43">
        <v>14.2</v>
      </c>
      <c r="F181" s="43">
        <v>0.6</v>
      </c>
      <c r="G181" s="43">
        <v>11.7</v>
      </c>
      <c r="H181" s="43">
        <v>2.9</v>
      </c>
      <c r="I181" s="43">
        <v>4.0999999999999996</v>
      </c>
      <c r="J181" s="43">
        <v>3.2</v>
      </c>
      <c r="K181" s="43">
        <v>7</v>
      </c>
      <c r="L181" s="43">
        <v>14.3</v>
      </c>
    </row>
    <row r="182" spans="1:12" ht="15" customHeight="1" x14ac:dyDescent="0.25">
      <c r="A182" s="41" t="s">
        <v>226</v>
      </c>
      <c r="B182" s="37">
        <v>31.3</v>
      </c>
      <c r="C182" s="37">
        <v>3.4</v>
      </c>
      <c r="D182" s="37">
        <v>3</v>
      </c>
      <c r="E182" s="37">
        <v>3.2</v>
      </c>
      <c r="F182" s="37">
        <v>0.2</v>
      </c>
      <c r="G182" s="37">
        <v>4.7</v>
      </c>
      <c r="H182" s="37">
        <v>9.6</v>
      </c>
      <c r="I182" s="37">
        <v>10.3</v>
      </c>
      <c r="J182" s="37">
        <v>1.3</v>
      </c>
      <c r="K182" s="37">
        <v>1.6</v>
      </c>
      <c r="L182" s="37">
        <v>5.8</v>
      </c>
    </row>
    <row r="183" spans="1:12" ht="15" customHeight="1" x14ac:dyDescent="0.25">
      <c r="A183" s="41" t="s">
        <v>173</v>
      </c>
      <c r="B183" s="37">
        <v>27.2</v>
      </c>
      <c r="C183" s="37" t="s">
        <v>28</v>
      </c>
      <c r="D183" s="37">
        <v>1.7</v>
      </c>
      <c r="E183" s="37">
        <v>3.6</v>
      </c>
      <c r="F183" s="37">
        <v>0.2</v>
      </c>
      <c r="G183" s="37">
        <v>6.5</v>
      </c>
      <c r="H183" s="37" t="s">
        <v>28</v>
      </c>
      <c r="I183" s="37">
        <v>4.2</v>
      </c>
      <c r="J183" s="37">
        <v>1.7</v>
      </c>
      <c r="K183" s="37">
        <v>2.4</v>
      </c>
      <c r="L183" s="37">
        <v>6.9</v>
      </c>
    </row>
    <row r="184" spans="1:12" ht="24" customHeight="1" x14ac:dyDescent="0.25">
      <c r="A184" s="40" t="s">
        <v>233</v>
      </c>
      <c r="B184" s="46" t="s">
        <v>16</v>
      </c>
      <c r="C184" s="46" t="s">
        <v>16</v>
      </c>
      <c r="D184" s="46" t="s">
        <v>16</v>
      </c>
      <c r="E184" s="46" t="s">
        <v>16</v>
      </c>
      <c r="F184" s="46" t="s">
        <v>16</v>
      </c>
      <c r="G184" s="46" t="s">
        <v>16</v>
      </c>
      <c r="H184" s="46" t="s">
        <v>16</v>
      </c>
      <c r="I184" s="46" t="s">
        <v>16</v>
      </c>
      <c r="J184" s="46" t="s">
        <v>16</v>
      </c>
      <c r="K184" s="46" t="s">
        <v>16</v>
      </c>
      <c r="L184" s="46" t="s">
        <v>16</v>
      </c>
    </row>
    <row r="185" spans="1:12" ht="15" customHeight="1" x14ac:dyDescent="0.25">
      <c r="A185" s="35" t="s">
        <v>221</v>
      </c>
      <c r="B185" s="43">
        <v>52</v>
      </c>
      <c r="C185" s="43">
        <v>1.7</v>
      </c>
      <c r="D185" s="43">
        <v>8.3000000000000007</v>
      </c>
      <c r="E185" s="43">
        <v>8.1</v>
      </c>
      <c r="F185" s="43">
        <v>0.5</v>
      </c>
      <c r="G185" s="43">
        <v>8.6999999999999993</v>
      </c>
      <c r="H185" s="43">
        <v>3.7</v>
      </c>
      <c r="I185" s="43">
        <v>9.3000000000000007</v>
      </c>
      <c r="J185" s="43">
        <v>2.1</v>
      </c>
      <c r="K185" s="43">
        <v>5.0999999999999996</v>
      </c>
      <c r="L185" s="43">
        <v>9</v>
      </c>
    </row>
    <row r="186" spans="1:12" ht="15" customHeight="1" x14ac:dyDescent="0.25">
      <c r="A186" s="41" t="s">
        <v>230</v>
      </c>
      <c r="B186" s="43">
        <v>59.1</v>
      </c>
      <c r="C186" s="43">
        <v>1.6</v>
      </c>
      <c r="D186" s="43" t="s">
        <v>127</v>
      </c>
      <c r="E186" s="43">
        <v>14.1</v>
      </c>
      <c r="F186" s="43">
        <v>0.7</v>
      </c>
      <c r="G186" s="43">
        <v>12.6</v>
      </c>
      <c r="H186" s="43">
        <v>5.0999999999999996</v>
      </c>
      <c r="I186" s="43">
        <v>4.5</v>
      </c>
      <c r="J186" s="43">
        <v>3.9</v>
      </c>
      <c r="K186" s="43">
        <v>9</v>
      </c>
      <c r="L186" s="43">
        <v>14.7</v>
      </c>
    </row>
    <row r="187" spans="1:12" ht="15" customHeight="1" x14ac:dyDescent="0.25">
      <c r="A187" s="41" t="s">
        <v>234</v>
      </c>
      <c r="B187" s="43">
        <v>16.8</v>
      </c>
      <c r="C187" s="43">
        <v>1.3</v>
      </c>
      <c r="D187" s="43" t="s">
        <v>127</v>
      </c>
      <c r="E187" s="43">
        <v>1</v>
      </c>
      <c r="F187" s="43">
        <v>0.3</v>
      </c>
      <c r="G187" s="43">
        <v>5.2</v>
      </c>
      <c r="H187" s="43">
        <v>3.2</v>
      </c>
      <c r="I187" s="43">
        <v>8.4</v>
      </c>
      <c r="J187" s="43">
        <v>1</v>
      </c>
      <c r="K187" s="43">
        <v>1.8</v>
      </c>
      <c r="L187" s="43">
        <v>6.5</v>
      </c>
    </row>
    <row r="188" spans="1:12" ht="24" customHeight="1" x14ac:dyDescent="0.25">
      <c r="A188" s="40" t="s">
        <v>235</v>
      </c>
      <c r="B188" s="46" t="s">
        <v>16</v>
      </c>
      <c r="C188" s="46" t="s">
        <v>16</v>
      </c>
      <c r="D188" s="46" t="s">
        <v>16</v>
      </c>
      <c r="E188" s="46" t="s">
        <v>16</v>
      </c>
      <c r="F188" s="46" t="s">
        <v>16</v>
      </c>
      <c r="G188" s="46" t="s">
        <v>16</v>
      </c>
      <c r="H188" s="46" t="s">
        <v>16</v>
      </c>
      <c r="I188" s="46" t="s">
        <v>16</v>
      </c>
      <c r="J188" s="46" t="s">
        <v>16</v>
      </c>
      <c r="K188" s="46" t="s">
        <v>16</v>
      </c>
      <c r="L188" s="46" t="s">
        <v>16</v>
      </c>
    </row>
    <row r="189" spans="1:12" ht="15" customHeight="1" x14ac:dyDescent="0.25">
      <c r="A189" s="35" t="s">
        <v>221</v>
      </c>
      <c r="B189" s="43">
        <v>51.8</v>
      </c>
      <c r="C189" s="43">
        <v>1.8</v>
      </c>
      <c r="D189" s="43">
        <v>8.4</v>
      </c>
      <c r="E189" s="43">
        <v>8</v>
      </c>
      <c r="F189" s="43">
        <v>0.5</v>
      </c>
      <c r="G189" s="43">
        <v>8.9</v>
      </c>
      <c r="H189" s="43">
        <v>2.9</v>
      </c>
      <c r="I189" s="43">
        <v>9.9</v>
      </c>
      <c r="J189" s="43">
        <v>1.8</v>
      </c>
      <c r="K189" s="43">
        <v>5.4</v>
      </c>
      <c r="L189" s="43">
        <v>8.5</v>
      </c>
    </row>
    <row r="190" spans="1:12" ht="15" customHeight="1" x14ac:dyDescent="0.25">
      <c r="A190" s="41" t="s">
        <v>230</v>
      </c>
      <c r="B190" s="43">
        <v>52.7</v>
      </c>
      <c r="C190" s="43">
        <v>1.8</v>
      </c>
      <c r="D190" s="43">
        <v>8.5</v>
      </c>
      <c r="E190" s="43">
        <v>8.9</v>
      </c>
      <c r="F190" s="43" t="s">
        <v>127</v>
      </c>
      <c r="G190" s="43">
        <v>8.8000000000000007</v>
      </c>
      <c r="H190" s="43">
        <v>4.7</v>
      </c>
      <c r="I190" s="43">
        <v>8.6</v>
      </c>
      <c r="J190" s="43">
        <v>2.7</v>
      </c>
      <c r="K190" s="43">
        <v>5</v>
      </c>
      <c r="L190" s="43">
        <v>10</v>
      </c>
    </row>
    <row r="191" spans="1:12" ht="15" customHeight="1" x14ac:dyDescent="0.25">
      <c r="A191" s="41" t="s">
        <v>236</v>
      </c>
      <c r="B191" s="43">
        <v>19.399999999999999</v>
      </c>
      <c r="C191" s="43">
        <v>0.7</v>
      </c>
      <c r="D191" s="43">
        <v>5.3</v>
      </c>
      <c r="E191" s="43">
        <v>2.7</v>
      </c>
      <c r="F191" s="43" t="s">
        <v>127</v>
      </c>
      <c r="G191" s="43">
        <v>5.7</v>
      </c>
      <c r="H191" s="43" t="s">
        <v>28</v>
      </c>
      <c r="I191" s="43">
        <v>2.5</v>
      </c>
      <c r="J191" s="43">
        <v>1.2</v>
      </c>
      <c r="K191" s="43">
        <v>3.1</v>
      </c>
      <c r="L191" s="43">
        <v>7</v>
      </c>
    </row>
    <row r="192" spans="1:12" ht="24" customHeight="1" x14ac:dyDescent="0.25">
      <c r="A192" s="40" t="s">
        <v>237</v>
      </c>
      <c r="B192" s="46" t="s">
        <v>16</v>
      </c>
      <c r="C192" s="46" t="s">
        <v>16</v>
      </c>
      <c r="D192" s="46" t="s">
        <v>16</v>
      </c>
      <c r="E192" s="46" t="s">
        <v>16</v>
      </c>
      <c r="F192" s="46" t="s">
        <v>16</v>
      </c>
      <c r="G192" s="46" t="s">
        <v>16</v>
      </c>
      <c r="H192" s="46" t="s">
        <v>16</v>
      </c>
      <c r="I192" s="46" t="s">
        <v>16</v>
      </c>
      <c r="J192" s="46" t="s">
        <v>16</v>
      </c>
      <c r="K192" s="46" t="s">
        <v>16</v>
      </c>
      <c r="L192" s="46" t="s">
        <v>16</v>
      </c>
    </row>
    <row r="193" spans="1:12" ht="15" customHeight="1" x14ac:dyDescent="0.25">
      <c r="A193" s="35" t="s">
        <v>221</v>
      </c>
      <c r="B193" s="43">
        <v>61.5</v>
      </c>
      <c r="C193" s="43">
        <v>1.9</v>
      </c>
      <c r="D193" s="43">
        <v>10.199999999999999</v>
      </c>
      <c r="E193" s="43">
        <v>9.1999999999999993</v>
      </c>
      <c r="F193" s="43">
        <v>0.7</v>
      </c>
      <c r="G193" s="43">
        <v>8.6999999999999993</v>
      </c>
      <c r="H193" s="43">
        <v>3.7</v>
      </c>
      <c r="I193" s="43">
        <v>12.4</v>
      </c>
      <c r="J193" s="43">
        <v>2.2000000000000002</v>
      </c>
      <c r="K193" s="43">
        <v>4.9000000000000004</v>
      </c>
      <c r="L193" s="43">
        <v>9.1</v>
      </c>
    </row>
    <row r="194" spans="1:12" ht="15" customHeight="1" x14ac:dyDescent="0.25">
      <c r="A194" s="41" t="s">
        <v>230</v>
      </c>
      <c r="B194" s="43">
        <v>62.9</v>
      </c>
      <c r="C194" s="43">
        <v>1.6</v>
      </c>
      <c r="D194" s="43">
        <v>10.7</v>
      </c>
      <c r="E194" s="43">
        <v>10</v>
      </c>
      <c r="F194" s="43">
        <v>0.9</v>
      </c>
      <c r="G194" s="43">
        <v>9</v>
      </c>
      <c r="H194" s="43" t="s">
        <v>127</v>
      </c>
      <c r="I194" s="43">
        <v>16.100000000000001</v>
      </c>
      <c r="J194" s="43">
        <v>2.9</v>
      </c>
      <c r="K194" s="43">
        <v>3.8</v>
      </c>
      <c r="L194" s="43">
        <v>10.1</v>
      </c>
    </row>
    <row r="195" spans="1:12" ht="15" customHeight="1" x14ac:dyDescent="0.25">
      <c r="A195" s="41" t="s">
        <v>238</v>
      </c>
      <c r="B195" s="43">
        <v>40</v>
      </c>
      <c r="C195" s="43">
        <v>1.6</v>
      </c>
      <c r="D195" s="43">
        <v>6.4</v>
      </c>
      <c r="E195" s="43">
        <v>6.9</v>
      </c>
      <c r="F195" s="43">
        <v>0.3</v>
      </c>
      <c r="G195" s="43">
        <v>8.5</v>
      </c>
      <c r="H195" s="43" t="s">
        <v>127</v>
      </c>
      <c r="I195" s="43">
        <v>4</v>
      </c>
      <c r="J195" s="43">
        <v>1.9</v>
      </c>
      <c r="K195" s="43">
        <v>5.7</v>
      </c>
      <c r="L195" s="43">
        <v>8.8000000000000007</v>
      </c>
    </row>
    <row r="196" spans="1:12" ht="33.950000000000003" customHeight="1" x14ac:dyDescent="0.25">
      <c r="A196" s="40" t="s">
        <v>239</v>
      </c>
      <c r="B196" s="46" t="s">
        <v>16</v>
      </c>
      <c r="C196" s="46" t="s">
        <v>16</v>
      </c>
      <c r="D196" s="46" t="s">
        <v>16</v>
      </c>
      <c r="E196" s="46" t="s">
        <v>16</v>
      </c>
      <c r="F196" s="46" t="s">
        <v>16</v>
      </c>
      <c r="G196" s="46" t="s">
        <v>16</v>
      </c>
      <c r="H196" s="46" t="s">
        <v>16</v>
      </c>
      <c r="I196" s="46" t="s">
        <v>16</v>
      </c>
      <c r="J196" s="46" t="s">
        <v>16</v>
      </c>
      <c r="K196" s="46" t="s">
        <v>16</v>
      </c>
      <c r="L196" s="46" t="s">
        <v>16</v>
      </c>
    </row>
    <row r="197" spans="1:12" ht="15" customHeight="1" x14ac:dyDescent="0.25">
      <c r="A197" s="35" t="s">
        <v>240</v>
      </c>
      <c r="B197" s="43">
        <v>51</v>
      </c>
      <c r="C197" s="43">
        <v>1.7</v>
      </c>
      <c r="D197" s="43">
        <v>8.1</v>
      </c>
      <c r="E197" s="43">
        <v>8.1999999999999993</v>
      </c>
      <c r="F197" s="43">
        <v>0.5</v>
      </c>
      <c r="G197" s="43">
        <v>8.6999999999999993</v>
      </c>
      <c r="H197" s="43">
        <v>3.7</v>
      </c>
      <c r="I197" s="43">
        <v>9.1</v>
      </c>
      <c r="J197" s="43">
        <v>2.2000000000000002</v>
      </c>
      <c r="K197" s="43">
        <v>5.2</v>
      </c>
      <c r="L197" s="43">
        <v>9.1</v>
      </c>
    </row>
    <row r="198" spans="1:12" ht="15" customHeight="1" x14ac:dyDescent="0.25">
      <c r="A198" s="41" t="s">
        <v>241</v>
      </c>
      <c r="B198" s="43">
        <v>52.3</v>
      </c>
      <c r="C198" s="43">
        <v>1.7</v>
      </c>
      <c r="D198" s="43">
        <v>8.3000000000000007</v>
      </c>
      <c r="E198" s="43">
        <v>8.4</v>
      </c>
      <c r="F198" s="43">
        <v>0.5</v>
      </c>
      <c r="G198" s="43">
        <v>8.9</v>
      </c>
      <c r="H198" s="43">
        <v>3.7</v>
      </c>
      <c r="I198" s="43">
        <v>9.1</v>
      </c>
      <c r="J198" s="43">
        <v>2.2000000000000002</v>
      </c>
      <c r="K198" s="43">
        <v>5.3</v>
      </c>
      <c r="L198" s="43">
        <v>9.1999999999999993</v>
      </c>
    </row>
    <row r="199" spans="1:12" ht="15" customHeight="1" x14ac:dyDescent="0.25">
      <c r="A199" s="41" t="s">
        <v>242</v>
      </c>
      <c r="B199" s="43">
        <v>52.2</v>
      </c>
      <c r="C199" s="43">
        <v>1.8</v>
      </c>
      <c r="D199" s="43">
        <v>8.4</v>
      </c>
      <c r="E199" s="43">
        <v>8.4</v>
      </c>
      <c r="F199" s="43">
        <v>0.5</v>
      </c>
      <c r="G199" s="43">
        <v>8.8000000000000007</v>
      </c>
      <c r="H199" s="43">
        <v>3.7</v>
      </c>
      <c r="I199" s="43">
        <v>9.3000000000000007</v>
      </c>
      <c r="J199" s="43">
        <v>2.2000000000000002</v>
      </c>
      <c r="K199" s="43">
        <v>5.2</v>
      </c>
      <c r="L199" s="43">
        <v>9.1999999999999993</v>
      </c>
    </row>
    <row r="200" spans="1:12" ht="15" customHeight="1" x14ac:dyDescent="0.25">
      <c r="A200" s="35" t="s">
        <v>243</v>
      </c>
      <c r="B200" s="43">
        <v>62</v>
      </c>
      <c r="C200" s="43">
        <v>1.8</v>
      </c>
      <c r="D200" s="43">
        <v>10.4</v>
      </c>
      <c r="E200" s="43">
        <v>9.5</v>
      </c>
      <c r="F200" s="43">
        <v>0.7</v>
      </c>
      <c r="G200" s="43">
        <v>8.8000000000000007</v>
      </c>
      <c r="H200" s="43">
        <v>3.7</v>
      </c>
      <c r="I200" s="43">
        <v>13.7</v>
      </c>
      <c r="J200" s="43">
        <v>2.5</v>
      </c>
      <c r="K200" s="43">
        <v>4.5999999999999996</v>
      </c>
      <c r="L200" s="43">
        <v>9.4</v>
      </c>
    </row>
    <row r="201" spans="1:12" ht="15" customHeight="1" x14ac:dyDescent="0.25">
      <c r="A201" s="41" t="s">
        <v>244</v>
      </c>
      <c r="B201" s="37">
        <v>44.9</v>
      </c>
      <c r="C201" s="37">
        <v>1.3</v>
      </c>
      <c r="D201" s="37">
        <v>7.1</v>
      </c>
      <c r="E201" s="37">
        <v>5.7</v>
      </c>
      <c r="F201" s="37">
        <v>0.3</v>
      </c>
      <c r="G201" s="37">
        <v>9.6999999999999993</v>
      </c>
      <c r="H201" s="37">
        <v>3.8</v>
      </c>
      <c r="I201" s="37">
        <v>7.1</v>
      </c>
      <c r="J201" s="37">
        <v>1</v>
      </c>
      <c r="K201" s="37">
        <v>3.2</v>
      </c>
      <c r="L201" s="37">
        <v>11.2</v>
      </c>
    </row>
    <row r="202" spans="1:12" ht="27.95" customHeight="1" x14ac:dyDescent="0.25">
      <c r="A202" s="41" t="s">
        <v>245</v>
      </c>
      <c r="B202" s="37">
        <v>65.2</v>
      </c>
      <c r="C202" s="37">
        <v>1.7</v>
      </c>
      <c r="D202" s="37">
        <v>11.5</v>
      </c>
      <c r="E202" s="37">
        <v>11.2</v>
      </c>
      <c r="F202" s="37">
        <v>0.6</v>
      </c>
      <c r="G202" s="37">
        <v>10.7</v>
      </c>
      <c r="H202" s="37">
        <v>2.6</v>
      </c>
      <c r="I202" s="37">
        <v>8.5</v>
      </c>
      <c r="J202" s="37">
        <v>2.5</v>
      </c>
      <c r="K202" s="37">
        <v>7.6</v>
      </c>
      <c r="L202" s="37">
        <v>11.9</v>
      </c>
    </row>
    <row r="203" spans="1:12" ht="24" customHeight="1" x14ac:dyDescent="0.25">
      <c r="A203" s="40" t="s">
        <v>246</v>
      </c>
      <c r="B203" s="46" t="s">
        <v>16</v>
      </c>
      <c r="C203" s="46" t="s">
        <v>16</v>
      </c>
      <c r="D203" s="46" t="s">
        <v>16</v>
      </c>
      <c r="E203" s="46" t="s">
        <v>16</v>
      </c>
      <c r="F203" s="46" t="s">
        <v>16</v>
      </c>
      <c r="G203" s="46" t="s">
        <v>16</v>
      </c>
      <c r="H203" s="46" t="s">
        <v>16</v>
      </c>
      <c r="I203" s="46" t="s">
        <v>16</v>
      </c>
      <c r="J203" s="46" t="s">
        <v>16</v>
      </c>
      <c r="K203" s="46" t="s">
        <v>16</v>
      </c>
      <c r="L203" s="46" t="s">
        <v>16</v>
      </c>
    </row>
    <row r="204" spans="1:12" ht="15" customHeight="1" x14ac:dyDescent="0.25">
      <c r="A204" s="35" t="s">
        <v>247</v>
      </c>
      <c r="B204" s="43">
        <v>32</v>
      </c>
      <c r="C204" s="43" t="s">
        <v>127</v>
      </c>
      <c r="D204" s="43">
        <v>15.1</v>
      </c>
      <c r="E204" s="43">
        <v>4.5999999999999996</v>
      </c>
      <c r="F204" s="43">
        <v>0.3</v>
      </c>
      <c r="G204" s="43">
        <v>7.3</v>
      </c>
      <c r="H204" s="43">
        <v>4.2</v>
      </c>
      <c r="I204" s="43">
        <v>10.6</v>
      </c>
      <c r="J204" s="43">
        <v>1.5</v>
      </c>
      <c r="K204" s="43">
        <v>3.1</v>
      </c>
      <c r="L204" s="43">
        <v>7.7</v>
      </c>
    </row>
    <row r="205" spans="1:12" ht="15" customHeight="1" x14ac:dyDescent="0.25">
      <c r="A205" s="41" t="s">
        <v>248</v>
      </c>
      <c r="B205" s="43">
        <v>33</v>
      </c>
      <c r="C205" s="43">
        <v>0.5</v>
      </c>
      <c r="D205" s="43">
        <v>4.2</v>
      </c>
      <c r="E205" s="43">
        <v>3.7</v>
      </c>
      <c r="F205" s="43">
        <v>0.2</v>
      </c>
      <c r="G205" s="43">
        <v>6.3</v>
      </c>
      <c r="H205" s="43">
        <v>3.5</v>
      </c>
      <c r="I205" s="43">
        <v>7.8</v>
      </c>
      <c r="J205" s="43">
        <v>1.2</v>
      </c>
      <c r="K205" s="43">
        <v>4.3</v>
      </c>
      <c r="L205" s="43">
        <v>7.3</v>
      </c>
    </row>
    <row r="206" spans="1:12" ht="15" customHeight="1" x14ac:dyDescent="0.25">
      <c r="A206" s="41" t="s">
        <v>249</v>
      </c>
      <c r="B206" s="43">
        <v>54.5</v>
      </c>
      <c r="C206" s="43">
        <v>1.3</v>
      </c>
      <c r="D206" s="43">
        <v>9</v>
      </c>
      <c r="E206" s="43">
        <v>8.8000000000000007</v>
      </c>
      <c r="F206" s="43">
        <v>0.6</v>
      </c>
      <c r="G206" s="43">
        <v>9</v>
      </c>
      <c r="H206" s="43">
        <v>3.2</v>
      </c>
      <c r="I206" s="43">
        <v>11.7</v>
      </c>
      <c r="J206" s="43">
        <v>2</v>
      </c>
      <c r="K206" s="43">
        <v>4.2</v>
      </c>
      <c r="L206" s="43">
        <v>9</v>
      </c>
    </row>
    <row r="207" spans="1:12" ht="15" customHeight="1" x14ac:dyDescent="0.25">
      <c r="A207" s="48" t="s">
        <v>250</v>
      </c>
      <c r="B207" s="43">
        <v>53.4</v>
      </c>
      <c r="C207" s="43">
        <v>2.1</v>
      </c>
      <c r="D207" s="43">
        <v>8.6</v>
      </c>
      <c r="E207" s="43">
        <v>8.9</v>
      </c>
      <c r="F207" s="43">
        <v>0.6</v>
      </c>
      <c r="G207" s="43">
        <v>9.1</v>
      </c>
      <c r="H207" s="43">
        <v>3.8</v>
      </c>
      <c r="I207" s="43">
        <v>8.5</v>
      </c>
      <c r="J207" s="43">
        <v>2.4</v>
      </c>
      <c r="K207" s="43">
        <v>5.7</v>
      </c>
      <c r="L207" s="43">
        <v>9.5</v>
      </c>
    </row>
    <row r="208" spans="1:12" ht="24" customHeight="1" x14ac:dyDescent="0.25">
      <c r="A208" s="40" t="s">
        <v>251</v>
      </c>
      <c r="B208" s="46" t="s">
        <v>16</v>
      </c>
      <c r="C208" s="46" t="s">
        <v>16</v>
      </c>
      <c r="D208" s="46" t="s">
        <v>16</v>
      </c>
      <c r="E208" s="46" t="s">
        <v>16</v>
      </c>
      <c r="F208" s="46" t="s">
        <v>16</v>
      </c>
      <c r="G208" s="46" t="s">
        <v>16</v>
      </c>
      <c r="H208" s="46" t="s">
        <v>16</v>
      </c>
      <c r="I208" s="46" t="s">
        <v>16</v>
      </c>
      <c r="J208" s="46" t="s">
        <v>16</v>
      </c>
      <c r="K208" s="46" t="s">
        <v>16</v>
      </c>
      <c r="L208" s="46" t="s">
        <v>16</v>
      </c>
    </row>
    <row r="209" spans="1:12" ht="15" customHeight="1" x14ac:dyDescent="0.25">
      <c r="A209" s="35" t="s">
        <v>252</v>
      </c>
      <c r="B209" s="43">
        <v>16.8</v>
      </c>
      <c r="C209" s="43">
        <v>1.3</v>
      </c>
      <c r="D209" s="43" t="s">
        <v>127</v>
      </c>
      <c r="E209" s="43">
        <v>1</v>
      </c>
      <c r="F209" s="43">
        <v>0.3</v>
      </c>
      <c r="G209" s="43">
        <v>5.2</v>
      </c>
      <c r="H209" s="43">
        <v>3.2</v>
      </c>
      <c r="I209" s="43">
        <v>8.4</v>
      </c>
      <c r="J209" s="43">
        <v>1</v>
      </c>
      <c r="K209" s="43">
        <v>1.8</v>
      </c>
      <c r="L209" s="43">
        <v>6.5</v>
      </c>
    </row>
    <row r="210" spans="1:12" ht="15" customHeight="1" x14ac:dyDescent="0.25">
      <c r="A210" s="41" t="s">
        <v>248</v>
      </c>
      <c r="B210" s="43">
        <v>27.6</v>
      </c>
      <c r="C210" s="43">
        <v>1.1000000000000001</v>
      </c>
      <c r="D210" s="43">
        <v>2.2000000000000002</v>
      </c>
      <c r="E210" s="43">
        <v>3.5</v>
      </c>
      <c r="F210" s="43">
        <v>0.2</v>
      </c>
      <c r="G210" s="43">
        <v>6.5</v>
      </c>
      <c r="H210" s="43">
        <v>2</v>
      </c>
      <c r="I210" s="43">
        <v>5.0999999999999996</v>
      </c>
      <c r="J210" s="43">
        <v>1</v>
      </c>
      <c r="K210" s="43">
        <v>2.2000000000000002</v>
      </c>
      <c r="L210" s="43">
        <v>7</v>
      </c>
    </row>
    <row r="211" spans="1:12" ht="15" customHeight="1" x14ac:dyDescent="0.25">
      <c r="A211" s="41" t="s">
        <v>249</v>
      </c>
      <c r="B211" s="43">
        <v>57.2</v>
      </c>
      <c r="C211" s="43">
        <v>1.7</v>
      </c>
      <c r="D211" s="43">
        <v>8.6999999999999993</v>
      </c>
      <c r="E211" s="43">
        <v>9.4</v>
      </c>
      <c r="F211" s="43">
        <v>0.6</v>
      </c>
      <c r="G211" s="43">
        <v>9.1</v>
      </c>
      <c r="H211" s="43">
        <v>3.2</v>
      </c>
      <c r="I211" s="43">
        <v>10.9</v>
      </c>
      <c r="J211" s="43">
        <v>2.2000000000000002</v>
      </c>
      <c r="K211" s="43">
        <v>6.2</v>
      </c>
      <c r="L211" s="43">
        <v>9.5</v>
      </c>
    </row>
    <row r="212" spans="1:12" ht="15" customHeight="1" x14ac:dyDescent="0.25">
      <c r="A212" s="48" t="s">
        <v>250</v>
      </c>
      <c r="B212" s="43">
        <v>61.7</v>
      </c>
      <c r="C212" s="43">
        <v>2.1</v>
      </c>
      <c r="D212" s="43">
        <v>11.3</v>
      </c>
      <c r="E212" s="43">
        <v>10.199999999999999</v>
      </c>
      <c r="F212" s="43">
        <v>0.6</v>
      </c>
      <c r="G212" s="43">
        <v>9.9</v>
      </c>
      <c r="H212" s="43">
        <v>4.5</v>
      </c>
      <c r="I212" s="43">
        <v>9.9</v>
      </c>
      <c r="J212" s="43">
        <v>2.8</v>
      </c>
      <c r="K212" s="43">
        <v>6.2</v>
      </c>
      <c r="L212" s="43">
        <v>10.199999999999999</v>
      </c>
    </row>
    <row r="213" spans="1:12" ht="24" customHeight="1" x14ac:dyDescent="0.25">
      <c r="A213" s="40" t="s">
        <v>253</v>
      </c>
      <c r="B213" s="46" t="s">
        <v>16</v>
      </c>
      <c r="C213" s="46" t="s">
        <v>16</v>
      </c>
      <c r="D213" s="46" t="s">
        <v>16</v>
      </c>
      <c r="E213" s="46" t="s">
        <v>16</v>
      </c>
      <c r="F213" s="46" t="s">
        <v>16</v>
      </c>
      <c r="G213" s="46" t="s">
        <v>16</v>
      </c>
      <c r="H213" s="46" t="s">
        <v>16</v>
      </c>
      <c r="I213" s="46" t="s">
        <v>16</v>
      </c>
      <c r="J213" s="46" t="s">
        <v>16</v>
      </c>
      <c r="K213" s="46" t="s">
        <v>16</v>
      </c>
      <c r="L213" s="46" t="s">
        <v>16</v>
      </c>
    </row>
    <row r="214" spans="1:12" ht="15" customHeight="1" x14ac:dyDescent="0.25">
      <c r="A214" s="35" t="s">
        <v>254</v>
      </c>
      <c r="B214" s="43">
        <v>10.7</v>
      </c>
      <c r="C214" s="43" t="s">
        <v>28</v>
      </c>
      <c r="D214" s="43" t="s">
        <v>28</v>
      </c>
      <c r="E214" s="43" t="s">
        <v>28</v>
      </c>
      <c r="F214" s="43" t="s">
        <v>28</v>
      </c>
      <c r="G214" s="43" t="s">
        <v>28</v>
      </c>
      <c r="H214" s="43" t="s">
        <v>28</v>
      </c>
      <c r="I214" s="43" t="s">
        <v>28</v>
      </c>
      <c r="J214" s="43" t="s">
        <v>28</v>
      </c>
      <c r="K214" s="43" t="s">
        <v>28</v>
      </c>
      <c r="L214" s="43">
        <v>8</v>
      </c>
    </row>
    <row r="215" spans="1:12" ht="15" customHeight="1" x14ac:dyDescent="0.25">
      <c r="A215" s="41" t="s">
        <v>248</v>
      </c>
      <c r="B215" s="43">
        <v>30.7</v>
      </c>
      <c r="C215" s="43">
        <v>1.3</v>
      </c>
      <c r="D215" s="43">
        <v>5</v>
      </c>
      <c r="E215" s="43">
        <v>5.3</v>
      </c>
      <c r="F215" s="43">
        <v>0.4</v>
      </c>
      <c r="G215" s="43">
        <v>4</v>
      </c>
      <c r="H215" s="43">
        <v>2.6</v>
      </c>
      <c r="I215" s="43">
        <v>5</v>
      </c>
      <c r="J215" s="43">
        <v>2</v>
      </c>
      <c r="K215" s="43">
        <v>2.5</v>
      </c>
      <c r="L215" s="43">
        <v>8.5</v>
      </c>
    </row>
    <row r="216" spans="1:12" ht="15" customHeight="1" x14ac:dyDescent="0.25">
      <c r="A216" s="41" t="s">
        <v>249</v>
      </c>
      <c r="B216" s="43">
        <v>51.5</v>
      </c>
      <c r="C216" s="43">
        <v>1.7</v>
      </c>
      <c r="D216" s="43">
        <v>8.1999999999999993</v>
      </c>
      <c r="E216" s="43">
        <v>8.6</v>
      </c>
      <c r="F216" s="43">
        <v>0.6</v>
      </c>
      <c r="G216" s="43">
        <v>8.1999999999999993</v>
      </c>
      <c r="H216" s="43">
        <v>3.4</v>
      </c>
      <c r="I216" s="43">
        <v>9.6</v>
      </c>
      <c r="J216" s="43">
        <v>2.1</v>
      </c>
      <c r="K216" s="43">
        <v>5.2</v>
      </c>
      <c r="L216" s="43">
        <v>8.9</v>
      </c>
    </row>
    <row r="217" spans="1:12" ht="15" customHeight="1" x14ac:dyDescent="0.25">
      <c r="A217" s="48" t="s">
        <v>250</v>
      </c>
      <c r="B217" s="43">
        <v>57.2</v>
      </c>
      <c r="C217" s="43">
        <v>1.9</v>
      </c>
      <c r="D217" s="43">
        <v>9.6</v>
      </c>
      <c r="E217" s="43">
        <v>8.8000000000000007</v>
      </c>
      <c r="F217" s="43">
        <v>0.5</v>
      </c>
      <c r="G217" s="43">
        <v>10.8</v>
      </c>
      <c r="H217" s="43">
        <v>4.2</v>
      </c>
      <c r="I217" s="43">
        <v>9.9</v>
      </c>
      <c r="J217" s="43">
        <v>2.2000000000000002</v>
      </c>
      <c r="K217" s="43">
        <v>6</v>
      </c>
      <c r="L217" s="43">
        <v>9.6</v>
      </c>
    </row>
    <row r="218" spans="1:12" ht="27.95" customHeight="1" x14ac:dyDescent="0.25">
      <c r="A218" s="48" t="s">
        <v>255</v>
      </c>
      <c r="B218" s="43">
        <v>7.8</v>
      </c>
      <c r="C218" s="43">
        <v>1.3</v>
      </c>
      <c r="D218" s="43">
        <v>2.1</v>
      </c>
      <c r="E218" s="43">
        <v>0.1</v>
      </c>
      <c r="F218" s="43" t="s">
        <v>28</v>
      </c>
      <c r="G218" s="43" t="s">
        <v>28</v>
      </c>
      <c r="H218" s="43" t="s">
        <v>28</v>
      </c>
      <c r="I218" s="43" t="s">
        <v>28</v>
      </c>
      <c r="J218" s="43" t="s">
        <v>28</v>
      </c>
      <c r="K218" s="43" t="s">
        <v>28</v>
      </c>
      <c r="L218" s="43">
        <v>4.7</v>
      </c>
    </row>
    <row r="219" spans="1:12" ht="24" customHeight="1" x14ac:dyDescent="0.25">
      <c r="A219" s="40" t="s">
        <v>257</v>
      </c>
      <c r="B219" s="46" t="s">
        <v>16</v>
      </c>
      <c r="C219" s="46" t="s">
        <v>16</v>
      </c>
      <c r="D219" s="46" t="s">
        <v>16</v>
      </c>
      <c r="E219" s="46" t="s">
        <v>16</v>
      </c>
      <c r="F219" s="46" t="s">
        <v>16</v>
      </c>
      <c r="G219" s="46" t="s">
        <v>16</v>
      </c>
      <c r="H219" s="46" t="s">
        <v>16</v>
      </c>
      <c r="I219" s="46" t="s">
        <v>16</v>
      </c>
      <c r="J219" s="46" t="s">
        <v>16</v>
      </c>
      <c r="K219" s="46" t="s">
        <v>16</v>
      </c>
      <c r="L219" s="46" t="s">
        <v>16</v>
      </c>
    </row>
    <row r="220" spans="1:12" ht="15" customHeight="1" x14ac:dyDescent="0.25">
      <c r="A220" s="35" t="s">
        <v>254</v>
      </c>
      <c r="B220" s="43">
        <v>32</v>
      </c>
      <c r="C220" s="43">
        <v>1.7</v>
      </c>
      <c r="D220" s="43">
        <v>5.6</v>
      </c>
      <c r="E220" s="43">
        <v>5</v>
      </c>
      <c r="F220" s="43">
        <v>0.3</v>
      </c>
      <c r="G220" s="43">
        <v>5.4</v>
      </c>
      <c r="H220" s="43">
        <v>2.2999999999999998</v>
      </c>
      <c r="I220" s="43">
        <v>5.3</v>
      </c>
      <c r="J220" s="43">
        <v>1.5</v>
      </c>
      <c r="K220" s="43">
        <v>4.5999999999999996</v>
      </c>
      <c r="L220" s="43">
        <v>6.7</v>
      </c>
    </row>
    <row r="221" spans="1:12" ht="15" customHeight="1" x14ac:dyDescent="0.25">
      <c r="A221" s="41" t="s">
        <v>248</v>
      </c>
      <c r="B221" s="43">
        <v>52.7</v>
      </c>
      <c r="C221" s="43">
        <v>1.7</v>
      </c>
      <c r="D221" s="43">
        <v>8.8000000000000007</v>
      </c>
      <c r="E221" s="43">
        <v>8.6</v>
      </c>
      <c r="F221" s="43">
        <v>0.6</v>
      </c>
      <c r="G221" s="43">
        <v>9.1</v>
      </c>
      <c r="H221" s="43">
        <v>3.5</v>
      </c>
      <c r="I221" s="43">
        <v>9.1999999999999993</v>
      </c>
      <c r="J221" s="43">
        <v>2.1</v>
      </c>
      <c r="K221" s="43">
        <v>5.0999999999999996</v>
      </c>
      <c r="L221" s="43">
        <v>9.1</v>
      </c>
    </row>
    <row r="222" spans="1:12" ht="15" customHeight="1" x14ac:dyDescent="0.25">
      <c r="A222" s="41" t="s">
        <v>258</v>
      </c>
      <c r="B222" s="43">
        <v>81.2</v>
      </c>
      <c r="C222" s="43">
        <v>1.8</v>
      </c>
      <c r="D222" s="43">
        <v>12</v>
      </c>
      <c r="E222" s="43">
        <v>12.9</v>
      </c>
      <c r="F222" s="43">
        <v>0.7</v>
      </c>
      <c r="G222" s="43">
        <v>14.2</v>
      </c>
      <c r="H222" s="43">
        <v>7</v>
      </c>
      <c r="I222" s="43">
        <v>16.100000000000001</v>
      </c>
      <c r="J222" s="43">
        <v>3.5</v>
      </c>
      <c r="K222" s="43">
        <v>7.1</v>
      </c>
      <c r="L222" s="43">
        <v>14.5</v>
      </c>
    </row>
    <row r="223" spans="1:12" ht="27.95" customHeight="1" x14ac:dyDescent="0.25">
      <c r="A223" s="48" t="s">
        <v>259</v>
      </c>
      <c r="B223" s="43">
        <v>87</v>
      </c>
      <c r="C223" s="43">
        <v>1.4</v>
      </c>
      <c r="D223" s="43">
        <v>13.8</v>
      </c>
      <c r="E223" s="43">
        <v>13.7</v>
      </c>
      <c r="F223" s="43">
        <v>0.5</v>
      </c>
      <c r="G223" s="43">
        <v>15.1</v>
      </c>
      <c r="H223" s="43">
        <v>5.6</v>
      </c>
      <c r="I223" s="43">
        <v>20</v>
      </c>
      <c r="J223" s="43">
        <v>4.8</v>
      </c>
      <c r="K223" s="43">
        <v>5.8</v>
      </c>
      <c r="L223" s="43">
        <v>15.5</v>
      </c>
    </row>
    <row r="224" spans="1:12" ht="15" customHeight="1" x14ac:dyDescent="0.25">
      <c r="A224" s="48" t="s">
        <v>260</v>
      </c>
      <c r="B224" s="43" t="s">
        <v>127</v>
      </c>
      <c r="C224" s="43" t="s">
        <v>127</v>
      </c>
      <c r="D224" s="43" t="s">
        <v>127</v>
      </c>
      <c r="E224" s="43" t="s">
        <v>127</v>
      </c>
      <c r="F224" s="43" t="s">
        <v>127</v>
      </c>
      <c r="G224" s="43" t="s">
        <v>127</v>
      </c>
      <c r="H224" s="43" t="s">
        <v>127</v>
      </c>
      <c r="I224" s="43" t="s">
        <v>127</v>
      </c>
      <c r="J224" s="43" t="s">
        <v>127</v>
      </c>
      <c r="K224" s="43" t="s">
        <v>127</v>
      </c>
      <c r="L224" s="43" t="s">
        <v>127</v>
      </c>
    </row>
    <row r="225" spans="1:12" ht="33.950000000000003" customHeight="1" x14ac:dyDescent="0.25">
      <c r="A225" s="40" t="s">
        <v>261</v>
      </c>
      <c r="B225" s="46" t="s">
        <v>16</v>
      </c>
      <c r="C225" s="46" t="s">
        <v>16</v>
      </c>
      <c r="D225" s="46" t="s">
        <v>16</v>
      </c>
      <c r="E225" s="46" t="s">
        <v>16</v>
      </c>
      <c r="F225" s="46" t="s">
        <v>16</v>
      </c>
      <c r="G225" s="46" t="s">
        <v>16</v>
      </c>
      <c r="H225" s="46" t="s">
        <v>16</v>
      </c>
      <c r="I225" s="46" t="s">
        <v>16</v>
      </c>
      <c r="J225" s="46" t="s">
        <v>16</v>
      </c>
      <c r="K225" s="46" t="s">
        <v>16</v>
      </c>
      <c r="L225" s="46" t="s">
        <v>16</v>
      </c>
    </row>
    <row r="226" spans="1:12" ht="15" customHeight="1" x14ac:dyDescent="0.25">
      <c r="A226" s="35" t="s">
        <v>262</v>
      </c>
      <c r="B226" s="43">
        <v>51.7</v>
      </c>
      <c r="C226" s="43">
        <v>1.3</v>
      </c>
      <c r="D226" s="43">
        <v>9.6</v>
      </c>
      <c r="E226" s="43">
        <v>7.3</v>
      </c>
      <c r="F226" s="43">
        <v>0.6</v>
      </c>
      <c r="G226" s="43">
        <v>8.1999999999999993</v>
      </c>
      <c r="H226" s="43">
        <v>2.2000000000000002</v>
      </c>
      <c r="I226" s="43">
        <v>8.1</v>
      </c>
      <c r="J226" s="43">
        <v>2.9</v>
      </c>
      <c r="K226" s="43">
        <v>5.3</v>
      </c>
      <c r="L226" s="43">
        <v>8.8000000000000007</v>
      </c>
    </row>
    <row r="227" spans="1:12" ht="15" customHeight="1" x14ac:dyDescent="0.25">
      <c r="A227" s="41" t="s">
        <v>263</v>
      </c>
      <c r="B227" s="43">
        <v>41.9</v>
      </c>
      <c r="C227" s="43">
        <v>2.2000000000000002</v>
      </c>
      <c r="D227" s="43">
        <v>5.6</v>
      </c>
      <c r="E227" s="43">
        <v>6.1</v>
      </c>
      <c r="F227" s="43">
        <v>0.4</v>
      </c>
      <c r="G227" s="43">
        <v>6.7</v>
      </c>
      <c r="H227" s="43">
        <v>4.4000000000000004</v>
      </c>
      <c r="I227" s="43">
        <v>8.9</v>
      </c>
      <c r="J227" s="43">
        <v>2.1</v>
      </c>
      <c r="K227" s="43">
        <v>3.9</v>
      </c>
      <c r="L227" s="43">
        <v>7.3</v>
      </c>
    </row>
    <row r="228" spans="1:12" ht="15" customHeight="1" x14ac:dyDescent="0.25">
      <c r="A228" s="41" t="s">
        <v>264</v>
      </c>
      <c r="B228" s="43">
        <v>44.6</v>
      </c>
      <c r="C228" s="43">
        <v>1.8</v>
      </c>
      <c r="D228" s="43">
        <v>6.5</v>
      </c>
      <c r="E228" s="43">
        <v>7.2</v>
      </c>
      <c r="F228" s="43">
        <v>0.5</v>
      </c>
      <c r="G228" s="43">
        <v>8.1</v>
      </c>
      <c r="H228" s="43">
        <v>2.7</v>
      </c>
      <c r="I228" s="43">
        <v>7.1</v>
      </c>
      <c r="J228" s="43">
        <v>2.1</v>
      </c>
      <c r="K228" s="43">
        <v>4.3</v>
      </c>
      <c r="L228" s="43">
        <v>8.6</v>
      </c>
    </row>
    <row r="229" spans="1:12" ht="15" customHeight="1" x14ac:dyDescent="0.25">
      <c r="A229" s="41" t="s">
        <v>224</v>
      </c>
      <c r="B229" s="43">
        <v>59.1</v>
      </c>
      <c r="C229" s="43">
        <v>1.6</v>
      </c>
      <c r="D229" s="43">
        <v>7.3</v>
      </c>
      <c r="E229" s="43">
        <v>14</v>
      </c>
      <c r="F229" s="43">
        <v>0.6</v>
      </c>
      <c r="G229" s="43">
        <v>11.6</v>
      </c>
      <c r="H229" s="43">
        <v>2.8</v>
      </c>
      <c r="I229" s="43">
        <v>4</v>
      </c>
      <c r="J229" s="43">
        <v>3.3</v>
      </c>
      <c r="K229" s="43">
        <v>6.9</v>
      </c>
      <c r="L229" s="43">
        <v>14.1</v>
      </c>
    </row>
    <row r="230" spans="1:12" ht="15" customHeight="1" x14ac:dyDescent="0.25">
      <c r="A230" s="41" t="s">
        <v>265</v>
      </c>
      <c r="B230" s="43">
        <v>53.2</v>
      </c>
      <c r="C230" s="43">
        <v>1.3</v>
      </c>
      <c r="D230" s="43">
        <v>9.8000000000000007</v>
      </c>
      <c r="E230" s="43">
        <v>9.4</v>
      </c>
      <c r="F230" s="43">
        <v>0.5</v>
      </c>
      <c r="G230" s="43">
        <v>8.8000000000000007</v>
      </c>
      <c r="H230" s="43">
        <v>2.1</v>
      </c>
      <c r="I230" s="43">
        <v>5.8</v>
      </c>
      <c r="J230" s="43">
        <v>2.4</v>
      </c>
      <c r="K230" s="43">
        <v>6.2</v>
      </c>
      <c r="L230" s="43">
        <v>10.199999999999999</v>
      </c>
    </row>
    <row r="231" spans="1:12" ht="15" customHeight="1" x14ac:dyDescent="0.25">
      <c r="A231" s="41" t="s">
        <v>266</v>
      </c>
      <c r="B231" s="43">
        <v>53.5</v>
      </c>
      <c r="C231" s="43">
        <v>1.8</v>
      </c>
      <c r="D231" s="43">
        <v>8.4</v>
      </c>
      <c r="E231" s="43">
        <v>8.5</v>
      </c>
      <c r="F231" s="43">
        <v>0.5</v>
      </c>
      <c r="G231" s="43">
        <v>8.8000000000000007</v>
      </c>
      <c r="H231" s="43">
        <v>4.4000000000000004</v>
      </c>
      <c r="I231" s="43">
        <v>11.2</v>
      </c>
      <c r="J231" s="43">
        <v>1.9</v>
      </c>
      <c r="K231" s="43">
        <v>4.7</v>
      </c>
      <c r="L231" s="43">
        <v>8.8000000000000007</v>
      </c>
    </row>
    <row r="232" spans="1:12" ht="15" customHeight="1" x14ac:dyDescent="0.25">
      <c r="A232" s="41" t="s">
        <v>173</v>
      </c>
      <c r="B232" s="43">
        <v>83.3</v>
      </c>
      <c r="C232" s="43">
        <v>3.1</v>
      </c>
      <c r="D232" s="43">
        <v>6</v>
      </c>
      <c r="E232" s="43">
        <v>11.3</v>
      </c>
      <c r="F232" s="43">
        <v>0.7</v>
      </c>
      <c r="G232" s="43">
        <v>9.8000000000000007</v>
      </c>
      <c r="H232" s="43">
        <v>4</v>
      </c>
      <c r="I232" s="43">
        <v>39.799999999999997</v>
      </c>
      <c r="J232" s="43">
        <v>1.2</v>
      </c>
      <c r="K232" s="43">
        <v>2.1</v>
      </c>
      <c r="L232" s="43">
        <v>8.4</v>
      </c>
    </row>
    <row r="233" spans="1:12" ht="33.950000000000003" customHeight="1" x14ac:dyDescent="0.25">
      <c r="A233" s="40" t="s">
        <v>267</v>
      </c>
      <c r="B233" s="46" t="s">
        <v>16</v>
      </c>
      <c r="C233" s="46" t="s">
        <v>16</v>
      </c>
      <c r="D233" s="46" t="s">
        <v>16</v>
      </c>
      <c r="E233" s="46" t="s">
        <v>16</v>
      </c>
      <c r="F233" s="46" t="s">
        <v>16</v>
      </c>
      <c r="G233" s="46" t="s">
        <v>16</v>
      </c>
      <c r="H233" s="46" t="s">
        <v>16</v>
      </c>
      <c r="I233" s="46" t="s">
        <v>16</v>
      </c>
      <c r="J233" s="46" t="s">
        <v>16</v>
      </c>
      <c r="K233" s="46" t="s">
        <v>16</v>
      </c>
      <c r="L233" s="46" t="s">
        <v>16</v>
      </c>
    </row>
    <row r="234" spans="1:12" ht="27.95" customHeight="1" x14ac:dyDescent="0.25">
      <c r="A234" s="35" t="s">
        <v>268</v>
      </c>
      <c r="B234" s="43">
        <v>43.1</v>
      </c>
      <c r="C234" s="43">
        <v>1.7</v>
      </c>
      <c r="D234" s="43">
        <v>6.3</v>
      </c>
      <c r="E234" s="43">
        <v>5.0999999999999996</v>
      </c>
      <c r="F234" s="43">
        <v>0.5</v>
      </c>
      <c r="G234" s="43">
        <v>7.3</v>
      </c>
      <c r="H234" s="43">
        <v>3.2</v>
      </c>
      <c r="I234" s="43">
        <v>11.1</v>
      </c>
      <c r="J234" s="43">
        <v>2</v>
      </c>
      <c r="K234" s="43">
        <v>3.4</v>
      </c>
      <c r="L234" s="43">
        <v>7.5</v>
      </c>
    </row>
    <row r="235" spans="1:12" ht="15" customHeight="1" x14ac:dyDescent="0.25">
      <c r="A235" s="35" t="s">
        <v>262</v>
      </c>
      <c r="B235" s="43">
        <v>51.4</v>
      </c>
      <c r="C235" s="43">
        <v>1.3</v>
      </c>
      <c r="D235" s="43">
        <v>9</v>
      </c>
      <c r="E235" s="43">
        <v>7.4</v>
      </c>
      <c r="F235" s="43">
        <v>0.6</v>
      </c>
      <c r="G235" s="43">
        <v>8.3000000000000007</v>
      </c>
      <c r="H235" s="43">
        <v>2</v>
      </c>
      <c r="I235" s="43">
        <v>8.5</v>
      </c>
      <c r="J235" s="43">
        <v>2.7</v>
      </c>
      <c r="K235" s="43">
        <v>5.4</v>
      </c>
      <c r="L235" s="43">
        <v>8.6</v>
      </c>
    </row>
    <row r="236" spans="1:12" ht="15" customHeight="1" x14ac:dyDescent="0.25">
      <c r="A236" s="41" t="s">
        <v>269</v>
      </c>
      <c r="B236" s="43">
        <v>44</v>
      </c>
      <c r="C236" s="43">
        <v>1.7</v>
      </c>
      <c r="D236" s="43">
        <v>7.1</v>
      </c>
      <c r="E236" s="43">
        <v>6.5</v>
      </c>
      <c r="F236" s="43">
        <v>0.6</v>
      </c>
      <c r="G236" s="43">
        <v>7.2</v>
      </c>
      <c r="H236" s="43">
        <v>2.7</v>
      </c>
      <c r="I236" s="43">
        <v>6.2</v>
      </c>
      <c r="J236" s="43">
        <v>2.8</v>
      </c>
      <c r="K236" s="43">
        <v>4</v>
      </c>
      <c r="L236" s="43">
        <v>8.6</v>
      </c>
    </row>
    <row r="237" spans="1:12" ht="15" customHeight="1" x14ac:dyDescent="0.25">
      <c r="A237" s="41" t="s">
        <v>225</v>
      </c>
      <c r="B237" s="37">
        <v>63.3</v>
      </c>
      <c r="C237" s="37">
        <v>1.8</v>
      </c>
      <c r="D237" s="37">
        <v>7.7</v>
      </c>
      <c r="E237" s="37">
        <v>14.7</v>
      </c>
      <c r="F237" s="37">
        <v>0.9</v>
      </c>
      <c r="G237" s="37">
        <v>12.8</v>
      </c>
      <c r="H237" s="37">
        <v>3.6</v>
      </c>
      <c r="I237" s="37">
        <v>4.2</v>
      </c>
      <c r="J237" s="37">
        <v>3.5</v>
      </c>
      <c r="K237" s="37">
        <v>8.8000000000000007</v>
      </c>
      <c r="L237" s="37">
        <v>15.4</v>
      </c>
    </row>
    <row r="238" spans="1:12" ht="15" customHeight="1" x14ac:dyDescent="0.25">
      <c r="A238" s="41" t="s">
        <v>270</v>
      </c>
      <c r="B238" s="37">
        <v>65.7</v>
      </c>
      <c r="C238" s="37">
        <v>1.5</v>
      </c>
      <c r="D238" s="37">
        <v>12.8</v>
      </c>
      <c r="E238" s="37">
        <v>12.3</v>
      </c>
      <c r="F238" s="37">
        <v>0.4</v>
      </c>
      <c r="G238" s="37">
        <v>10.6</v>
      </c>
      <c r="H238" s="37">
        <v>2.2000000000000002</v>
      </c>
      <c r="I238" s="37">
        <v>4.9000000000000004</v>
      </c>
      <c r="J238" s="37">
        <v>2.5</v>
      </c>
      <c r="K238" s="37">
        <v>8.6999999999999993</v>
      </c>
      <c r="L238" s="37">
        <v>12.4</v>
      </c>
    </row>
    <row r="239" spans="1:12" ht="15" customHeight="1" x14ac:dyDescent="0.25">
      <c r="A239" s="41" t="s">
        <v>271</v>
      </c>
      <c r="B239" s="37">
        <v>54.9</v>
      </c>
      <c r="C239" s="37">
        <v>1.7</v>
      </c>
      <c r="D239" s="37">
        <v>8.6999999999999993</v>
      </c>
      <c r="E239" s="37">
        <v>9.1999999999999993</v>
      </c>
      <c r="F239" s="37">
        <v>0.5</v>
      </c>
      <c r="G239" s="37">
        <v>9</v>
      </c>
      <c r="H239" s="37">
        <v>4.3</v>
      </c>
      <c r="I239" s="37">
        <v>11</v>
      </c>
      <c r="J239" s="37">
        <v>1.9</v>
      </c>
      <c r="K239" s="37">
        <v>4.5999999999999996</v>
      </c>
      <c r="L239" s="37">
        <v>8.9</v>
      </c>
    </row>
    <row r="240" spans="1:12" ht="15" customHeight="1" x14ac:dyDescent="0.25">
      <c r="A240" s="41" t="s">
        <v>272</v>
      </c>
      <c r="B240" s="37">
        <v>51.1</v>
      </c>
      <c r="C240" s="37">
        <v>1.9</v>
      </c>
      <c r="D240" s="37">
        <v>6.9</v>
      </c>
      <c r="E240" s="37">
        <v>7.4</v>
      </c>
      <c r="F240" s="37">
        <v>0.6</v>
      </c>
      <c r="G240" s="37">
        <v>8.4</v>
      </c>
      <c r="H240" s="37">
        <v>7.5</v>
      </c>
      <c r="I240" s="37">
        <v>13.3</v>
      </c>
      <c r="J240" s="37">
        <v>1.7</v>
      </c>
      <c r="K240" s="37">
        <v>3</v>
      </c>
      <c r="L240" s="37">
        <v>7.9</v>
      </c>
    </row>
    <row r="241" spans="1:12" ht="15" customHeight="1" x14ac:dyDescent="0.25">
      <c r="A241" s="41" t="s">
        <v>173</v>
      </c>
      <c r="B241" s="37">
        <v>97.8</v>
      </c>
      <c r="C241" s="37" t="s">
        <v>28</v>
      </c>
      <c r="D241" s="37">
        <v>11.9</v>
      </c>
      <c r="E241" s="37">
        <v>15.2</v>
      </c>
      <c r="F241" s="37" t="s">
        <v>28</v>
      </c>
      <c r="G241" s="37">
        <v>15.4</v>
      </c>
      <c r="H241" s="37" t="s">
        <v>28</v>
      </c>
      <c r="I241" s="37">
        <v>4.5</v>
      </c>
      <c r="J241" s="37">
        <v>1.3</v>
      </c>
      <c r="K241" s="37" t="s">
        <v>28</v>
      </c>
      <c r="L241" s="37">
        <v>14.2</v>
      </c>
    </row>
    <row r="242" spans="1:12" ht="33.950000000000003" customHeight="1" x14ac:dyDescent="0.25">
      <c r="A242" s="40" t="s">
        <v>273</v>
      </c>
      <c r="B242" s="46" t="s">
        <v>16</v>
      </c>
      <c r="C242" s="46" t="s">
        <v>16</v>
      </c>
      <c r="D242" s="46" t="s">
        <v>16</v>
      </c>
      <c r="E242" s="46" t="s">
        <v>16</v>
      </c>
      <c r="F242" s="46" t="s">
        <v>16</v>
      </c>
      <c r="G242" s="46" t="s">
        <v>16</v>
      </c>
      <c r="H242" s="46" t="s">
        <v>16</v>
      </c>
      <c r="I242" s="46" t="s">
        <v>16</v>
      </c>
      <c r="J242" s="46" t="s">
        <v>16</v>
      </c>
      <c r="K242" s="46" t="s">
        <v>16</v>
      </c>
      <c r="L242" s="46" t="s">
        <v>16</v>
      </c>
    </row>
    <row r="243" spans="1:12" ht="15" customHeight="1" x14ac:dyDescent="0.25">
      <c r="A243" s="35" t="s">
        <v>274</v>
      </c>
      <c r="B243" s="43">
        <v>48</v>
      </c>
      <c r="C243" s="43">
        <v>1.8</v>
      </c>
      <c r="D243" s="43">
        <v>7.5</v>
      </c>
      <c r="E243" s="43">
        <v>7.3</v>
      </c>
      <c r="F243" s="43">
        <v>0.6</v>
      </c>
      <c r="G243" s="43">
        <v>7.8</v>
      </c>
      <c r="H243" s="43">
        <v>3.7</v>
      </c>
      <c r="I243" s="43">
        <v>9.1</v>
      </c>
      <c r="J243" s="43">
        <v>2.2000000000000002</v>
      </c>
      <c r="K243" s="43">
        <v>5.2</v>
      </c>
      <c r="L243" s="43">
        <v>8.1999999999999993</v>
      </c>
    </row>
    <row r="244" spans="1:12" ht="15" customHeight="1" x14ac:dyDescent="0.25">
      <c r="A244" s="35" t="s">
        <v>275</v>
      </c>
      <c r="B244" s="43">
        <v>49.5</v>
      </c>
      <c r="C244" s="43">
        <v>1.8</v>
      </c>
      <c r="D244" s="43">
        <v>8</v>
      </c>
      <c r="E244" s="43">
        <v>7.7</v>
      </c>
      <c r="F244" s="43">
        <v>0.6</v>
      </c>
      <c r="G244" s="43">
        <v>7.9</v>
      </c>
      <c r="H244" s="43">
        <v>3.5</v>
      </c>
      <c r="I244" s="43">
        <v>8.5</v>
      </c>
      <c r="J244" s="43">
        <v>2.2999999999999998</v>
      </c>
      <c r="K244" s="43">
        <v>5.4</v>
      </c>
      <c r="L244" s="43">
        <v>8.5</v>
      </c>
    </row>
    <row r="245" spans="1:12" ht="24" customHeight="1" x14ac:dyDescent="0.25">
      <c r="A245" s="40" t="s">
        <v>276</v>
      </c>
      <c r="B245" s="46" t="s">
        <v>16</v>
      </c>
      <c r="C245" s="46" t="s">
        <v>16</v>
      </c>
      <c r="D245" s="46" t="s">
        <v>16</v>
      </c>
      <c r="E245" s="46" t="s">
        <v>16</v>
      </c>
      <c r="F245" s="46" t="s">
        <v>16</v>
      </c>
      <c r="G245" s="46" t="s">
        <v>16</v>
      </c>
      <c r="H245" s="46" t="s">
        <v>16</v>
      </c>
      <c r="I245" s="46" t="s">
        <v>16</v>
      </c>
      <c r="J245" s="46" t="s">
        <v>16</v>
      </c>
      <c r="K245" s="46" t="s">
        <v>16</v>
      </c>
      <c r="L245" s="46" t="s">
        <v>16</v>
      </c>
    </row>
    <row r="246" spans="1:12" ht="15" customHeight="1" x14ac:dyDescent="0.25">
      <c r="A246" s="35" t="s">
        <v>277</v>
      </c>
      <c r="B246" s="43">
        <v>52.3</v>
      </c>
      <c r="C246" s="43">
        <v>2</v>
      </c>
      <c r="D246" s="43">
        <v>8.4</v>
      </c>
      <c r="E246" s="43">
        <v>8.3000000000000007</v>
      </c>
      <c r="F246" s="43">
        <v>0.6</v>
      </c>
      <c r="G246" s="43">
        <v>8.8000000000000007</v>
      </c>
      <c r="H246" s="43">
        <v>4.8</v>
      </c>
      <c r="I246" s="43">
        <v>9</v>
      </c>
      <c r="J246" s="43">
        <v>2.4</v>
      </c>
      <c r="K246" s="43">
        <v>5.0999999999999996</v>
      </c>
      <c r="L246" s="43">
        <v>9.6</v>
      </c>
    </row>
    <row r="247" spans="1:12" ht="15" customHeight="1" x14ac:dyDescent="0.25">
      <c r="A247" s="35" t="s">
        <v>278</v>
      </c>
      <c r="B247" s="43">
        <v>42.5</v>
      </c>
      <c r="C247" s="43">
        <v>1.5</v>
      </c>
      <c r="D247" s="43">
        <v>6.8</v>
      </c>
      <c r="E247" s="43">
        <v>6.6</v>
      </c>
      <c r="F247" s="43">
        <v>0.3</v>
      </c>
      <c r="G247" s="43">
        <v>8.3000000000000007</v>
      </c>
      <c r="H247" s="43">
        <v>2.8</v>
      </c>
      <c r="I247" s="43">
        <v>7.1</v>
      </c>
      <c r="J247" s="43">
        <v>1.5</v>
      </c>
      <c r="K247" s="43">
        <v>4.5</v>
      </c>
      <c r="L247" s="43">
        <v>7.8</v>
      </c>
    </row>
    <row r="248" spans="1:12" ht="27.95" customHeight="1" x14ac:dyDescent="0.25">
      <c r="A248" s="41" t="s">
        <v>279</v>
      </c>
      <c r="B248" s="43">
        <v>58.7</v>
      </c>
      <c r="C248" s="43">
        <v>1.5</v>
      </c>
      <c r="D248" s="43">
        <v>9.6999999999999993</v>
      </c>
      <c r="E248" s="43">
        <v>9.8000000000000007</v>
      </c>
      <c r="F248" s="43">
        <v>0.6</v>
      </c>
      <c r="G248" s="43">
        <v>9.4</v>
      </c>
      <c r="H248" s="43">
        <v>2.2000000000000002</v>
      </c>
      <c r="I248" s="43">
        <v>11.3</v>
      </c>
      <c r="J248" s="43">
        <v>2</v>
      </c>
      <c r="K248" s="43">
        <v>6</v>
      </c>
      <c r="L248" s="43">
        <v>9.1</v>
      </c>
    </row>
    <row r="249" spans="1:12" ht="33.950000000000003" customHeight="1" x14ac:dyDescent="0.25">
      <c r="A249" s="40" t="s">
        <v>280</v>
      </c>
      <c r="B249" s="46" t="s">
        <v>16</v>
      </c>
      <c r="C249" s="46" t="s">
        <v>16</v>
      </c>
      <c r="D249" s="46" t="s">
        <v>16</v>
      </c>
      <c r="E249" s="46" t="s">
        <v>16</v>
      </c>
      <c r="F249" s="46" t="s">
        <v>16</v>
      </c>
      <c r="G249" s="46" t="s">
        <v>16</v>
      </c>
      <c r="H249" s="46" t="s">
        <v>16</v>
      </c>
      <c r="I249" s="46" t="s">
        <v>16</v>
      </c>
      <c r="J249" s="46" t="s">
        <v>16</v>
      </c>
      <c r="K249" s="46" t="s">
        <v>16</v>
      </c>
      <c r="L249" s="46" t="s">
        <v>16</v>
      </c>
    </row>
    <row r="250" spans="1:12" ht="15" customHeight="1" x14ac:dyDescent="0.25">
      <c r="A250" s="35" t="s">
        <v>281</v>
      </c>
      <c r="B250" s="43">
        <v>54.3</v>
      </c>
      <c r="C250" s="43">
        <v>1.7</v>
      </c>
      <c r="D250" s="43">
        <v>9.5</v>
      </c>
      <c r="E250" s="43">
        <v>8.9</v>
      </c>
      <c r="F250" s="43">
        <v>0.6</v>
      </c>
      <c r="G250" s="43">
        <v>8.9</v>
      </c>
      <c r="H250" s="43">
        <v>3.1</v>
      </c>
      <c r="I250" s="43">
        <v>9.6</v>
      </c>
      <c r="J250" s="43">
        <v>2.2999999999999998</v>
      </c>
      <c r="K250" s="43">
        <v>5</v>
      </c>
      <c r="L250" s="43">
        <v>9.4</v>
      </c>
    </row>
    <row r="251" spans="1:12" ht="15" customHeight="1" x14ac:dyDescent="0.25">
      <c r="A251" s="35" t="s">
        <v>282</v>
      </c>
      <c r="B251" s="43">
        <v>51</v>
      </c>
      <c r="C251" s="43">
        <v>1.7</v>
      </c>
      <c r="D251" s="43">
        <v>8.4</v>
      </c>
      <c r="E251" s="43">
        <v>8.3000000000000007</v>
      </c>
      <c r="F251" s="43">
        <v>0.5</v>
      </c>
      <c r="G251" s="43">
        <v>8.6999999999999993</v>
      </c>
      <c r="H251" s="43">
        <v>3.6</v>
      </c>
      <c r="I251" s="43">
        <v>9.1</v>
      </c>
      <c r="J251" s="43">
        <v>2.1</v>
      </c>
      <c r="K251" s="43">
        <v>5.2</v>
      </c>
      <c r="L251" s="43">
        <v>9.1999999999999993</v>
      </c>
    </row>
    <row r="252" spans="1:12" ht="15" customHeight="1" x14ac:dyDescent="0.25">
      <c r="A252" s="41" t="s">
        <v>283</v>
      </c>
      <c r="B252" s="43">
        <v>56.4</v>
      </c>
      <c r="C252" s="43">
        <v>1.8</v>
      </c>
      <c r="D252" s="43">
        <v>9.6999999999999993</v>
      </c>
      <c r="E252" s="43">
        <v>9.5</v>
      </c>
      <c r="F252" s="43">
        <v>0.6</v>
      </c>
      <c r="G252" s="43">
        <v>9.1999999999999993</v>
      </c>
      <c r="H252" s="43">
        <v>3.6</v>
      </c>
      <c r="I252" s="43">
        <v>9</v>
      </c>
      <c r="J252" s="43">
        <v>2.4</v>
      </c>
      <c r="K252" s="43">
        <v>5.8</v>
      </c>
      <c r="L252" s="43">
        <v>9.6999999999999993</v>
      </c>
    </row>
    <row r="253" spans="1:12" ht="15" customHeight="1" x14ac:dyDescent="0.25">
      <c r="A253" s="35" t="s">
        <v>284</v>
      </c>
      <c r="B253" s="43">
        <v>55.7</v>
      </c>
      <c r="C253" s="43">
        <v>1.5</v>
      </c>
      <c r="D253" s="43">
        <v>10.199999999999999</v>
      </c>
      <c r="E253" s="43">
        <v>9.3000000000000007</v>
      </c>
      <c r="F253" s="43">
        <v>0.5</v>
      </c>
      <c r="G253" s="43">
        <v>9.8000000000000007</v>
      </c>
      <c r="H253" s="43">
        <v>2.2000000000000002</v>
      </c>
      <c r="I253" s="43">
        <v>8.6999999999999993</v>
      </c>
      <c r="J253" s="43">
        <v>2.1</v>
      </c>
      <c r="K253" s="43">
        <v>4.9000000000000004</v>
      </c>
      <c r="L253" s="43">
        <v>10.1</v>
      </c>
    </row>
    <row r="254" spans="1:12" ht="15" customHeight="1" x14ac:dyDescent="0.25">
      <c r="A254" s="35" t="s">
        <v>285</v>
      </c>
      <c r="B254" s="43">
        <v>58.2</v>
      </c>
      <c r="C254" s="43">
        <v>1.7</v>
      </c>
      <c r="D254" s="43">
        <v>9.8000000000000007</v>
      </c>
      <c r="E254" s="43">
        <v>9.6999999999999993</v>
      </c>
      <c r="F254" s="43">
        <v>0.6</v>
      </c>
      <c r="G254" s="43">
        <v>9.5</v>
      </c>
      <c r="H254" s="43">
        <v>3.1</v>
      </c>
      <c r="I254" s="43">
        <v>10.3</v>
      </c>
      <c r="J254" s="43">
        <v>2.2999999999999998</v>
      </c>
      <c r="K254" s="43">
        <v>5</v>
      </c>
      <c r="L254" s="43">
        <v>10</v>
      </c>
    </row>
    <row r="255" spans="1:12" ht="15" customHeight="1" x14ac:dyDescent="0.25">
      <c r="A255" s="41" t="s">
        <v>286</v>
      </c>
      <c r="B255" s="43">
        <v>64.099999999999994</v>
      </c>
      <c r="C255" s="43">
        <v>1.7</v>
      </c>
      <c r="D255" s="43">
        <v>11</v>
      </c>
      <c r="E255" s="43">
        <v>11.2</v>
      </c>
      <c r="F255" s="43">
        <v>0.6</v>
      </c>
      <c r="G255" s="43">
        <v>10</v>
      </c>
      <c r="H255" s="43">
        <v>2.9</v>
      </c>
      <c r="I255" s="43">
        <v>11.9</v>
      </c>
      <c r="J255" s="43">
        <v>2.4</v>
      </c>
      <c r="K255" s="43">
        <v>5.3</v>
      </c>
      <c r="L255" s="43">
        <v>10.9</v>
      </c>
    </row>
    <row r="256" spans="1:12" ht="15" customHeight="1" x14ac:dyDescent="0.25">
      <c r="A256" s="41" t="s">
        <v>173</v>
      </c>
      <c r="B256" s="43">
        <v>72.900000000000006</v>
      </c>
      <c r="C256" s="43" t="s">
        <v>28</v>
      </c>
      <c r="D256" s="43">
        <v>12.9</v>
      </c>
      <c r="E256" s="43">
        <v>12.1</v>
      </c>
      <c r="F256" s="43" t="s">
        <v>28</v>
      </c>
      <c r="G256" s="43">
        <v>9.8000000000000007</v>
      </c>
      <c r="H256" s="43">
        <v>3.6</v>
      </c>
      <c r="I256" s="43">
        <v>13.9</v>
      </c>
      <c r="J256" s="43">
        <v>3</v>
      </c>
      <c r="K256" s="43">
        <v>5.4</v>
      </c>
      <c r="L256" s="43">
        <v>11.8</v>
      </c>
    </row>
    <row r="257" spans="1:12" ht="33.950000000000003" customHeight="1" x14ac:dyDescent="0.25">
      <c r="A257" s="40" t="s">
        <v>287</v>
      </c>
      <c r="B257" s="46" t="s">
        <v>16</v>
      </c>
      <c r="C257" s="46" t="s">
        <v>16</v>
      </c>
      <c r="D257" s="46" t="s">
        <v>16</v>
      </c>
      <c r="E257" s="46" t="s">
        <v>16</v>
      </c>
      <c r="F257" s="46" t="s">
        <v>16</v>
      </c>
      <c r="G257" s="46" t="s">
        <v>16</v>
      </c>
      <c r="H257" s="46" t="s">
        <v>16</v>
      </c>
      <c r="I257" s="46" t="s">
        <v>16</v>
      </c>
      <c r="J257" s="46" t="s">
        <v>16</v>
      </c>
      <c r="K257" s="46" t="s">
        <v>16</v>
      </c>
      <c r="L257" s="46" t="s">
        <v>16</v>
      </c>
    </row>
    <row r="258" spans="1:12" ht="15" customHeight="1" x14ac:dyDescent="0.25">
      <c r="A258" s="35" t="s">
        <v>288</v>
      </c>
      <c r="B258" s="43">
        <v>53.3</v>
      </c>
      <c r="C258" s="43">
        <v>1.7</v>
      </c>
      <c r="D258" s="43">
        <v>8.6</v>
      </c>
      <c r="E258" s="43">
        <v>8.5</v>
      </c>
      <c r="F258" s="43">
        <v>0.5</v>
      </c>
      <c r="G258" s="43">
        <v>8.8000000000000007</v>
      </c>
      <c r="H258" s="43">
        <v>3.7</v>
      </c>
      <c r="I258" s="43">
        <v>9.1</v>
      </c>
      <c r="J258" s="43">
        <v>2.2000000000000002</v>
      </c>
      <c r="K258" s="43">
        <v>5.0999999999999996</v>
      </c>
      <c r="L258" s="43">
        <v>9.1999999999999993</v>
      </c>
    </row>
    <row r="259" spans="1:12" ht="15" customHeight="1" x14ac:dyDescent="0.25">
      <c r="A259" s="39" t="s">
        <v>289</v>
      </c>
      <c r="B259" s="43">
        <v>72.900000000000006</v>
      </c>
      <c r="C259" s="43">
        <v>1.8</v>
      </c>
      <c r="D259" s="43">
        <v>11.6</v>
      </c>
      <c r="E259" s="43">
        <v>10.9</v>
      </c>
      <c r="F259" s="43">
        <v>0.8</v>
      </c>
      <c r="G259" s="43">
        <v>10</v>
      </c>
      <c r="H259" s="43">
        <v>4.8</v>
      </c>
      <c r="I259" s="43">
        <v>19.3</v>
      </c>
      <c r="J259" s="43">
        <v>2.6</v>
      </c>
      <c r="K259" s="43">
        <v>4.7</v>
      </c>
      <c r="L259" s="43">
        <v>10.3</v>
      </c>
    </row>
    <row r="260" spans="1:12" ht="15" customHeight="1" x14ac:dyDescent="0.25">
      <c r="A260" s="39" t="s">
        <v>290</v>
      </c>
      <c r="B260" s="43">
        <v>69.2</v>
      </c>
      <c r="C260" s="43">
        <v>1.8</v>
      </c>
      <c r="D260" s="43">
        <v>10.4</v>
      </c>
      <c r="E260" s="43">
        <v>10.7</v>
      </c>
      <c r="F260" s="43">
        <v>0.8</v>
      </c>
      <c r="G260" s="43">
        <v>9.8000000000000007</v>
      </c>
      <c r="H260" s="43">
        <v>4.3</v>
      </c>
      <c r="I260" s="43">
        <v>18.2</v>
      </c>
      <c r="J260" s="43">
        <v>2.4</v>
      </c>
      <c r="K260" s="43">
        <v>4.5</v>
      </c>
      <c r="L260" s="43">
        <v>10</v>
      </c>
    </row>
    <row r="261" spans="1:12" ht="15" customHeight="1" x14ac:dyDescent="0.25">
      <c r="A261" s="39" t="s">
        <v>291</v>
      </c>
      <c r="B261" s="43">
        <v>80.099999999999994</v>
      </c>
      <c r="C261" s="43">
        <v>1.1000000000000001</v>
      </c>
      <c r="D261" s="43">
        <v>9.6</v>
      </c>
      <c r="E261" s="43">
        <v>8.8000000000000007</v>
      </c>
      <c r="F261" s="43">
        <v>0.6</v>
      </c>
      <c r="G261" s="43">
        <v>10</v>
      </c>
      <c r="H261" s="43">
        <v>4.0999999999999996</v>
      </c>
      <c r="I261" s="43">
        <v>34.700000000000003</v>
      </c>
      <c r="J261" s="43">
        <v>1.7</v>
      </c>
      <c r="K261" s="43">
        <v>3.1</v>
      </c>
      <c r="L261" s="43">
        <v>9.8000000000000007</v>
      </c>
    </row>
    <row r="262" spans="1:12" ht="15" customHeight="1" x14ac:dyDescent="0.25">
      <c r="A262" s="39" t="s">
        <v>292</v>
      </c>
      <c r="B262" s="43">
        <v>68.099999999999994</v>
      </c>
      <c r="C262" s="43">
        <v>1.8</v>
      </c>
      <c r="D262" s="43">
        <v>11.5</v>
      </c>
      <c r="E262" s="43">
        <v>10.9</v>
      </c>
      <c r="F262" s="43">
        <v>0.7</v>
      </c>
      <c r="G262" s="43">
        <v>10</v>
      </c>
      <c r="H262" s="43">
        <v>4.4000000000000004</v>
      </c>
      <c r="I262" s="43">
        <v>14</v>
      </c>
      <c r="J262" s="43">
        <v>2.8</v>
      </c>
      <c r="K262" s="43">
        <v>5.3</v>
      </c>
      <c r="L262" s="43">
        <v>10.6</v>
      </c>
    </row>
    <row r="263" spans="1:12" ht="15" customHeight="1" x14ac:dyDescent="0.25">
      <c r="A263" s="39" t="s">
        <v>293</v>
      </c>
      <c r="B263" s="43">
        <v>49.8</v>
      </c>
      <c r="C263" s="43">
        <v>1.7</v>
      </c>
      <c r="D263" s="43">
        <v>8.3000000000000007</v>
      </c>
      <c r="E263" s="43">
        <v>8.3000000000000007</v>
      </c>
      <c r="F263" s="43">
        <v>0.5</v>
      </c>
      <c r="G263" s="43">
        <v>8.6</v>
      </c>
      <c r="H263" s="43">
        <v>2.8</v>
      </c>
      <c r="I263" s="43">
        <v>6.6</v>
      </c>
      <c r="J263" s="43">
        <v>2.1</v>
      </c>
      <c r="K263" s="43">
        <v>5.4</v>
      </c>
      <c r="L263" s="43">
        <v>9.1</v>
      </c>
    </row>
    <row r="264" spans="1:12" ht="15" customHeight="1" x14ac:dyDescent="0.25">
      <c r="A264" s="39" t="s">
        <v>294</v>
      </c>
      <c r="B264" s="43">
        <v>57.6</v>
      </c>
      <c r="C264" s="43">
        <v>1.7</v>
      </c>
      <c r="D264" s="43">
        <v>9.6999999999999993</v>
      </c>
      <c r="E264" s="43">
        <v>9.8000000000000007</v>
      </c>
      <c r="F264" s="43">
        <v>0.6</v>
      </c>
      <c r="G264" s="43">
        <v>10</v>
      </c>
      <c r="H264" s="43">
        <v>2.4</v>
      </c>
      <c r="I264" s="43">
        <v>8.6</v>
      </c>
      <c r="J264" s="43">
        <v>2.2999999999999998</v>
      </c>
      <c r="K264" s="43">
        <v>5.6</v>
      </c>
      <c r="L264" s="43">
        <v>10.199999999999999</v>
      </c>
    </row>
    <row r="265" spans="1:12" ht="15" customHeight="1" x14ac:dyDescent="0.25">
      <c r="A265" s="41" t="s">
        <v>295</v>
      </c>
      <c r="B265" s="37">
        <v>28.3</v>
      </c>
      <c r="C265" s="37">
        <v>1.6</v>
      </c>
      <c r="D265" s="37">
        <v>5.8</v>
      </c>
      <c r="E265" s="37">
        <v>4.9000000000000004</v>
      </c>
      <c r="F265" s="37">
        <v>0.3</v>
      </c>
      <c r="G265" s="37">
        <v>7.6</v>
      </c>
      <c r="H265" s="37" t="s">
        <v>28</v>
      </c>
      <c r="I265" s="37" t="s">
        <v>127</v>
      </c>
      <c r="J265" s="37">
        <v>1.7</v>
      </c>
      <c r="K265" s="37">
        <v>5.2</v>
      </c>
      <c r="L265" s="37">
        <v>7.9</v>
      </c>
    </row>
    <row r="266" spans="1:12" ht="33.950000000000003" customHeight="1" x14ac:dyDescent="0.25">
      <c r="A266" s="40" t="s">
        <v>296</v>
      </c>
      <c r="B266" s="46" t="s">
        <v>16</v>
      </c>
      <c r="C266" s="46" t="s">
        <v>16</v>
      </c>
      <c r="D266" s="46" t="s">
        <v>16</v>
      </c>
      <c r="E266" s="46" t="s">
        <v>16</v>
      </c>
      <c r="F266" s="46" t="s">
        <v>16</v>
      </c>
      <c r="G266" s="46" t="s">
        <v>16</v>
      </c>
      <c r="H266" s="46" t="s">
        <v>16</v>
      </c>
      <c r="I266" s="46" t="s">
        <v>16</v>
      </c>
      <c r="J266" s="46" t="s">
        <v>16</v>
      </c>
      <c r="K266" s="46" t="s">
        <v>16</v>
      </c>
      <c r="L266" s="46" t="s">
        <v>16</v>
      </c>
    </row>
    <row r="267" spans="1:12" ht="15" customHeight="1" x14ac:dyDescent="0.25">
      <c r="A267" s="35" t="s">
        <v>297</v>
      </c>
      <c r="B267" s="43">
        <v>52.1</v>
      </c>
      <c r="C267" s="43">
        <v>1.7</v>
      </c>
      <c r="D267" s="43">
        <v>8.4</v>
      </c>
      <c r="E267" s="43">
        <v>8.4</v>
      </c>
      <c r="F267" s="43">
        <v>0.5</v>
      </c>
      <c r="G267" s="43">
        <v>8.9</v>
      </c>
      <c r="H267" s="43">
        <v>3.6</v>
      </c>
      <c r="I267" s="43">
        <v>8.9</v>
      </c>
      <c r="J267" s="43">
        <v>2.1</v>
      </c>
      <c r="K267" s="43">
        <v>5.2</v>
      </c>
      <c r="L267" s="43">
        <v>9.1999999999999993</v>
      </c>
    </row>
    <row r="268" spans="1:12" ht="15" customHeight="1" x14ac:dyDescent="0.25">
      <c r="A268" s="39" t="s">
        <v>298</v>
      </c>
      <c r="B268" s="43">
        <v>52.2</v>
      </c>
      <c r="C268" s="43">
        <v>1.7</v>
      </c>
      <c r="D268" s="43">
        <v>8.5</v>
      </c>
      <c r="E268" s="43">
        <v>8.5</v>
      </c>
      <c r="F268" s="43">
        <v>0.5</v>
      </c>
      <c r="G268" s="43">
        <v>8.9</v>
      </c>
      <c r="H268" s="43">
        <v>3.6</v>
      </c>
      <c r="I268" s="43">
        <v>8.9</v>
      </c>
      <c r="J268" s="43">
        <v>2.1</v>
      </c>
      <c r="K268" s="43">
        <v>5.2</v>
      </c>
      <c r="L268" s="43">
        <v>9.1999999999999993</v>
      </c>
    </row>
    <row r="269" spans="1:12" ht="15" customHeight="1" x14ac:dyDescent="0.25">
      <c r="A269" s="39" t="s">
        <v>299</v>
      </c>
      <c r="B269" s="43">
        <v>57.7</v>
      </c>
      <c r="C269" s="43">
        <v>1.6</v>
      </c>
      <c r="D269" s="43">
        <v>9.8000000000000007</v>
      </c>
      <c r="E269" s="43">
        <v>10.4</v>
      </c>
      <c r="F269" s="43">
        <v>0.5</v>
      </c>
      <c r="G269" s="43">
        <v>9.6</v>
      </c>
      <c r="H269" s="43">
        <v>2.4</v>
      </c>
      <c r="I269" s="43">
        <v>7.3</v>
      </c>
      <c r="J269" s="43">
        <v>2.2000000000000002</v>
      </c>
      <c r="K269" s="43">
        <v>7.5</v>
      </c>
      <c r="L269" s="43">
        <v>10</v>
      </c>
    </row>
    <row r="270" spans="1:12" ht="15" customHeight="1" x14ac:dyDescent="0.25">
      <c r="A270" s="56" t="s">
        <v>300</v>
      </c>
      <c r="B270" s="43">
        <v>52</v>
      </c>
      <c r="C270" s="43">
        <v>1.7</v>
      </c>
      <c r="D270" s="43">
        <v>8.9</v>
      </c>
      <c r="E270" s="43">
        <v>8.8000000000000007</v>
      </c>
      <c r="F270" s="43">
        <v>0.5</v>
      </c>
      <c r="G270" s="43">
        <v>9</v>
      </c>
      <c r="H270" s="43">
        <v>2.2999999999999998</v>
      </c>
      <c r="I270" s="43">
        <v>7.3</v>
      </c>
      <c r="J270" s="43">
        <v>2.1</v>
      </c>
      <c r="K270" s="43">
        <v>5.7</v>
      </c>
      <c r="L270" s="43">
        <v>9.4</v>
      </c>
    </row>
    <row r="271" spans="1:12" ht="15" customHeight="1" x14ac:dyDescent="0.25">
      <c r="A271" s="56" t="s">
        <v>301</v>
      </c>
      <c r="B271" s="43">
        <v>55.5</v>
      </c>
      <c r="C271" s="43">
        <v>1.7</v>
      </c>
      <c r="D271" s="43">
        <v>9.1</v>
      </c>
      <c r="E271" s="43">
        <v>9.3000000000000007</v>
      </c>
      <c r="F271" s="43">
        <v>0.5</v>
      </c>
      <c r="G271" s="43">
        <v>9.3000000000000007</v>
      </c>
      <c r="H271" s="43">
        <v>2.7</v>
      </c>
      <c r="I271" s="43">
        <v>8.5</v>
      </c>
      <c r="J271" s="43">
        <v>2.2000000000000002</v>
      </c>
      <c r="K271" s="43">
        <v>6.4</v>
      </c>
      <c r="L271" s="43">
        <v>9.5</v>
      </c>
    </row>
    <row r="272" spans="1:12" ht="15" customHeight="1" x14ac:dyDescent="0.25">
      <c r="A272" s="56" t="s">
        <v>302</v>
      </c>
      <c r="B272" s="43">
        <v>53.8</v>
      </c>
      <c r="C272" s="43">
        <v>1.7</v>
      </c>
      <c r="D272" s="43">
        <v>8.6999999999999993</v>
      </c>
      <c r="E272" s="43">
        <v>9</v>
      </c>
      <c r="F272" s="43">
        <v>0.5</v>
      </c>
      <c r="G272" s="43">
        <v>9.1</v>
      </c>
      <c r="H272" s="43">
        <v>2.9</v>
      </c>
      <c r="I272" s="43">
        <v>8.6</v>
      </c>
      <c r="J272" s="43">
        <v>2.2999999999999998</v>
      </c>
      <c r="K272" s="43">
        <v>5.8</v>
      </c>
      <c r="L272" s="43">
        <v>9.4</v>
      </c>
    </row>
    <row r="273" spans="1:12" ht="15" customHeight="1" x14ac:dyDescent="0.25">
      <c r="A273" s="56" t="s">
        <v>303</v>
      </c>
      <c r="B273" s="43">
        <v>49.3</v>
      </c>
      <c r="C273" s="43">
        <v>1.8</v>
      </c>
      <c r="D273" s="43">
        <v>8.3000000000000007</v>
      </c>
      <c r="E273" s="43">
        <v>7.6</v>
      </c>
      <c r="F273" s="43">
        <v>0.5</v>
      </c>
      <c r="G273" s="43">
        <v>8.4</v>
      </c>
      <c r="H273" s="43">
        <v>4.2</v>
      </c>
      <c r="I273" s="43">
        <v>8.5</v>
      </c>
      <c r="J273" s="43">
        <v>1.8</v>
      </c>
      <c r="K273" s="43">
        <v>4.5</v>
      </c>
      <c r="L273" s="43">
        <v>8.8000000000000007</v>
      </c>
    </row>
    <row r="274" spans="1:12" ht="15" customHeight="1" x14ac:dyDescent="0.25">
      <c r="A274" s="56" t="s">
        <v>304</v>
      </c>
      <c r="B274" s="43">
        <v>52.7</v>
      </c>
      <c r="C274" s="43">
        <v>1.7</v>
      </c>
      <c r="D274" s="43">
        <v>8.5</v>
      </c>
      <c r="E274" s="43">
        <v>8.6999999999999993</v>
      </c>
      <c r="F274" s="43">
        <v>0.5</v>
      </c>
      <c r="G274" s="43">
        <v>9.1999999999999993</v>
      </c>
      <c r="H274" s="43">
        <v>3.1</v>
      </c>
      <c r="I274" s="43">
        <v>8.9</v>
      </c>
      <c r="J274" s="43">
        <v>2.1</v>
      </c>
      <c r="K274" s="43">
        <v>5.2</v>
      </c>
      <c r="L274" s="43">
        <v>9.1999999999999993</v>
      </c>
    </row>
    <row r="275" spans="1:12" ht="15" customHeight="1" x14ac:dyDescent="0.25">
      <c r="A275" s="56" t="s">
        <v>305</v>
      </c>
      <c r="B275" s="43">
        <v>52.3</v>
      </c>
      <c r="C275" s="43">
        <v>1.7</v>
      </c>
      <c r="D275" s="43">
        <v>8.8000000000000007</v>
      </c>
      <c r="E275" s="43">
        <v>8.9</v>
      </c>
      <c r="F275" s="43">
        <v>0.5</v>
      </c>
      <c r="G275" s="43">
        <v>9.1</v>
      </c>
      <c r="H275" s="43">
        <v>2.1</v>
      </c>
      <c r="I275" s="43">
        <v>7</v>
      </c>
      <c r="J275" s="43">
        <v>2.2000000000000002</v>
      </c>
      <c r="K275" s="43">
        <v>5.8</v>
      </c>
      <c r="L275" s="43">
        <v>9.5</v>
      </c>
    </row>
    <row r="276" spans="1:12" ht="24" customHeight="1" x14ac:dyDescent="0.25">
      <c r="A276" s="40" t="s">
        <v>306</v>
      </c>
      <c r="B276" s="33" t="s">
        <v>16</v>
      </c>
      <c r="C276" s="33" t="s">
        <v>16</v>
      </c>
      <c r="D276" s="33" t="s">
        <v>16</v>
      </c>
      <c r="E276" s="33" t="s">
        <v>16</v>
      </c>
      <c r="F276" s="33" t="s">
        <v>16</v>
      </c>
      <c r="G276" s="33" t="s">
        <v>16</v>
      </c>
      <c r="H276" s="33" t="s">
        <v>16</v>
      </c>
      <c r="I276" s="33" t="s">
        <v>16</v>
      </c>
      <c r="J276" s="33" t="s">
        <v>16</v>
      </c>
      <c r="K276" s="33" t="s">
        <v>16</v>
      </c>
      <c r="L276" s="33" t="s">
        <v>16</v>
      </c>
    </row>
    <row r="277" spans="1:12" ht="15" customHeight="1" x14ac:dyDescent="0.25">
      <c r="A277" s="35" t="s">
        <v>307</v>
      </c>
      <c r="B277" s="43">
        <v>28.6</v>
      </c>
      <c r="C277" s="43">
        <v>2.2000000000000002</v>
      </c>
      <c r="D277" s="43">
        <v>6.3</v>
      </c>
      <c r="E277" s="43">
        <v>3.7</v>
      </c>
      <c r="F277" s="43">
        <v>0.6</v>
      </c>
      <c r="G277" s="43">
        <v>5.5</v>
      </c>
      <c r="H277" s="43">
        <v>7.2</v>
      </c>
      <c r="I277" s="43">
        <v>12.3</v>
      </c>
      <c r="J277" s="43">
        <v>2.6</v>
      </c>
      <c r="K277" s="43" t="s">
        <v>28</v>
      </c>
      <c r="L277" s="43">
        <v>7.5</v>
      </c>
    </row>
    <row r="278" spans="1:12" ht="15" customHeight="1" x14ac:dyDescent="0.25">
      <c r="A278" s="41" t="s">
        <v>308</v>
      </c>
      <c r="B278" s="43">
        <v>44.7</v>
      </c>
      <c r="C278" s="43">
        <v>1.8</v>
      </c>
      <c r="D278" s="43">
        <v>5.8</v>
      </c>
      <c r="E278" s="43">
        <v>5.4</v>
      </c>
      <c r="F278" s="43">
        <v>0.5</v>
      </c>
      <c r="G278" s="43">
        <v>6.8</v>
      </c>
      <c r="H278" s="43">
        <v>11.9</v>
      </c>
      <c r="I278" s="43">
        <v>14.3</v>
      </c>
      <c r="J278" s="43">
        <v>1.9</v>
      </c>
      <c r="K278" s="43">
        <v>1.4</v>
      </c>
      <c r="L278" s="43">
        <v>8.1999999999999993</v>
      </c>
    </row>
    <row r="279" spans="1:12" ht="15" customHeight="1" x14ac:dyDescent="0.25">
      <c r="A279" s="41" t="s">
        <v>146</v>
      </c>
      <c r="B279" s="43">
        <v>48.4</v>
      </c>
      <c r="C279" s="43">
        <v>1.7</v>
      </c>
      <c r="D279" s="43">
        <v>6.5</v>
      </c>
      <c r="E279" s="43">
        <v>6.6</v>
      </c>
      <c r="F279" s="43">
        <v>0.5</v>
      </c>
      <c r="G279" s="43">
        <v>8.1999999999999993</v>
      </c>
      <c r="H279" s="43">
        <v>5.2</v>
      </c>
      <c r="I279" s="43">
        <v>13</v>
      </c>
      <c r="J279" s="43">
        <v>2.1</v>
      </c>
      <c r="K279" s="43">
        <v>2.8</v>
      </c>
      <c r="L279" s="43">
        <v>8.5</v>
      </c>
    </row>
    <row r="280" spans="1:12" ht="15" customHeight="1" x14ac:dyDescent="0.25">
      <c r="A280" s="41" t="s">
        <v>147</v>
      </c>
      <c r="B280" s="43">
        <v>46.9</v>
      </c>
      <c r="C280" s="43">
        <v>1.8</v>
      </c>
      <c r="D280" s="43">
        <v>6.4</v>
      </c>
      <c r="E280" s="43">
        <v>7.5</v>
      </c>
      <c r="F280" s="43">
        <v>0.5</v>
      </c>
      <c r="G280" s="43">
        <v>8.4</v>
      </c>
      <c r="H280" s="43">
        <v>2.9</v>
      </c>
      <c r="I280" s="43">
        <v>9.5</v>
      </c>
      <c r="J280" s="43">
        <v>1.8</v>
      </c>
      <c r="K280" s="43">
        <v>4.4000000000000004</v>
      </c>
      <c r="L280" s="43">
        <v>8.3000000000000007</v>
      </c>
    </row>
    <row r="281" spans="1:12" ht="15" customHeight="1" x14ac:dyDescent="0.25">
      <c r="A281" s="35" t="s">
        <v>148</v>
      </c>
      <c r="B281" s="43">
        <v>54.7</v>
      </c>
      <c r="C281" s="43">
        <v>1.7</v>
      </c>
      <c r="D281" s="43">
        <v>8.9</v>
      </c>
      <c r="E281" s="43">
        <v>9</v>
      </c>
      <c r="F281" s="43">
        <v>0.6</v>
      </c>
      <c r="G281" s="43">
        <v>10</v>
      </c>
      <c r="H281" s="43">
        <v>2.2000000000000002</v>
      </c>
      <c r="I281" s="43">
        <v>10.1</v>
      </c>
      <c r="J281" s="43">
        <v>2.2000000000000002</v>
      </c>
      <c r="K281" s="43">
        <v>4.2</v>
      </c>
      <c r="L281" s="43">
        <v>9.6</v>
      </c>
    </row>
    <row r="282" spans="1:12" ht="15" customHeight="1" x14ac:dyDescent="0.25">
      <c r="A282" s="41" t="s">
        <v>149</v>
      </c>
      <c r="B282" s="43">
        <v>49.2</v>
      </c>
      <c r="C282" s="43">
        <v>1.9</v>
      </c>
      <c r="D282" s="43">
        <v>8.6999999999999993</v>
      </c>
      <c r="E282" s="43">
        <v>8.8000000000000007</v>
      </c>
      <c r="F282" s="43">
        <v>0.5</v>
      </c>
      <c r="G282" s="43">
        <v>9.3000000000000007</v>
      </c>
      <c r="H282" s="43">
        <v>1.6</v>
      </c>
      <c r="I282" s="43">
        <v>5.9</v>
      </c>
      <c r="J282" s="43">
        <v>1.9</v>
      </c>
      <c r="K282" s="43">
        <v>5</v>
      </c>
      <c r="L282" s="43">
        <v>8.6999999999999993</v>
      </c>
    </row>
    <row r="283" spans="1:12" ht="15" customHeight="1" x14ac:dyDescent="0.25">
      <c r="A283" s="41" t="s">
        <v>150</v>
      </c>
      <c r="B283" s="43">
        <v>56</v>
      </c>
      <c r="C283" s="43">
        <v>1.5</v>
      </c>
      <c r="D283" s="43">
        <v>8.8000000000000007</v>
      </c>
      <c r="E283" s="43">
        <v>10.1</v>
      </c>
      <c r="F283" s="43">
        <v>0.6</v>
      </c>
      <c r="G283" s="43">
        <v>10.4</v>
      </c>
      <c r="H283" s="43">
        <v>1.4</v>
      </c>
      <c r="I283" s="43">
        <v>5.0999999999999996</v>
      </c>
      <c r="J283" s="43">
        <v>2.5</v>
      </c>
      <c r="K283" s="43">
        <v>8.4</v>
      </c>
      <c r="L283" s="43">
        <v>10.3</v>
      </c>
    </row>
    <row r="284" spans="1:12" ht="15" customHeight="1" x14ac:dyDescent="0.25">
      <c r="A284" s="41" t="s">
        <v>151</v>
      </c>
      <c r="B284" s="43">
        <v>65.5</v>
      </c>
      <c r="C284" s="43">
        <v>1.4</v>
      </c>
      <c r="D284" s="43">
        <v>14.3</v>
      </c>
      <c r="E284" s="43">
        <v>12.6</v>
      </c>
      <c r="F284" s="43">
        <v>0.3</v>
      </c>
      <c r="G284" s="43">
        <v>10.1</v>
      </c>
      <c r="H284" s="43">
        <v>1.7</v>
      </c>
      <c r="I284" s="43">
        <v>3.1</v>
      </c>
      <c r="J284" s="43">
        <v>2.4</v>
      </c>
      <c r="K284" s="43">
        <v>11.5</v>
      </c>
      <c r="L284" s="43">
        <v>10.9</v>
      </c>
    </row>
    <row r="285" spans="1:12" ht="24" customHeight="1" x14ac:dyDescent="0.25">
      <c r="A285" s="40" t="s">
        <v>309</v>
      </c>
      <c r="B285" s="33" t="s">
        <v>16</v>
      </c>
      <c r="C285" s="33" t="s">
        <v>16</v>
      </c>
      <c r="D285" s="33" t="s">
        <v>16</v>
      </c>
      <c r="E285" s="33" t="s">
        <v>16</v>
      </c>
      <c r="F285" s="33" t="s">
        <v>16</v>
      </c>
      <c r="G285" s="33" t="s">
        <v>16</v>
      </c>
      <c r="H285" s="33" t="s">
        <v>16</v>
      </c>
      <c r="I285" s="33" t="s">
        <v>16</v>
      </c>
      <c r="J285" s="33" t="s">
        <v>16</v>
      </c>
      <c r="K285" s="33" t="s">
        <v>16</v>
      </c>
      <c r="L285" s="33" t="s">
        <v>16</v>
      </c>
    </row>
    <row r="286" spans="1:12" ht="15" customHeight="1" x14ac:dyDescent="0.25">
      <c r="A286" s="35" t="s">
        <v>307</v>
      </c>
      <c r="B286" s="43">
        <v>43.9</v>
      </c>
      <c r="C286" s="43">
        <v>1.9</v>
      </c>
      <c r="D286" s="43">
        <v>6.2</v>
      </c>
      <c r="E286" s="43">
        <v>5.9</v>
      </c>
      <c r="F286" s="43">
        <v>0.5</v>
      </c>
      <c r="G286" s="43">
        <v>7.6</v>
      </c>
      <c r="H286" s="43">
        <v>10.6</v>
      </c>
      <c r="I286" s="43">
        <v>15.9</v>
      </c>
      <c r="J286" s="43">
        <v>2.2000000000000002</v>
      </c>
      <c r="K286" s="43">
        <v>2.8</v>
      </c>
      <c r="L286" s="43">
        <v>8.1</v>
      </c>
    </row>
    <row r="287" spans="1:12" ht="15" customHeight="1" x14ac:dyDescent="0.25">
      <c r="A287" s="41" t="s">
        <v>308</v>
      </c>
      <c r="B287" s="43">
        <v>44</v>
      </c>
      <c r="C287" s="43">
        <v>1.9</v>
      </c>
      <c r="D287" s="43">
        <v>6.8</v>
      </c>
      <c r="E287" s="43">
        <v>6</v>
      </c>
      <c r="F287" s="43">
        <v>0.5</v>
      </c>
      <c r="G287" s="43">
        <v>7.8</v>
      </c>
      <c r="H287" s="43">
        <v>4.4000000000000004</v>
      </c>
      <c r="I287" s="43">
        <v>9.8000000000000007</v>
      </c>
      <c r="J287" s="43">
        <v>1.9</v>
      </c>
      <c r="K287" s="43">
        <v>2.8</v>
      </c>
      <c r="L287" s="43">
        <v>8.3000000000000007</v>
      </c>
    </row>
    <row r="288" spans="1:12" ht="15" customHeight="1" x14ac:dyDescent="0.25">
      <c r="A288" s="41" t="s">
        <v>146</v>
      </c>
      <c r="B288" s="43">
        <v>51.6</v>
      </c>
      <c r="C288" s="43">
        <v>1.4</v>
      </c>
      <c r="D288" s="43">
        <v>8.1999999999999993</v>
      </c>
      <c r="E288" s="43">
        <v>8.9</v>
      </c>
      <c r="F288" s="43">
        <v>0.6</v>
      </c>
      <c r="G288" s="43">
        <v>9.6999999999999993</v>
      </c>
      <c r="H288" s="43">
        <v>2.4</v>
      </c>
      <c r="I288" s="43">
        <v>9.5</v>
      </c>
      <c r="J288" s="43">
        <v>1.9</v>
      </c>
      <c r="K288" s="43">
        <v>3.9</v>
      </c>
      <c r="L288" s="43">
        <v>9.1</v>
      </c>
    </row>
    <row r="289" spans="1:12" ht="15" customHeight="1" x14ac:dyDescent="0.25">
      <c r="A289" s="41" t="s">
        <v>147</v>
      </c>
      <c r="B289" s="43">
        <v>53.4</v>
      </c>
      <c r="C289" s="43">
        <v>1.9</v>
      </c>
      <c r="D289" s="43">
        <v>9.5</v>
      </c>
      <c r="E289" s="43">
        <v>9.4</v>
      </c>
      <c r="F289" s="43">
        <v>0.6</v>
      </c>
      <c r="G289" s="43">
        <v>9</v>
      </c>
      <c r="H289" s="43">
        <v>2</v>
      </c>
      <c r="I289" s="43">
        <v>8.1</v>
      </c>
      <c r="J289" s="43">
        <v>2</v>
      </c>
      <c r="K289" s="43">
        <v>4.5999999999999996</v>
      </c>
      <c r="L289" s="43">
        <v>9.3000000000000007</v>
      </c>
    </row>
    <row r="290" spans="1:12" ht="15" customHeight="1" x14ac:dyDescent="0.25">
      <c r="A290" s="35" t="s">
        <v>148</v>
      </c>
      <c r="B290" s="43">
        <v>54.5</v>
      </c>
      <c r="C290" s="43">
        <v>1.5</v>
      </c>
      <c r="D290" s="43">
        <v>8.3000000000000007</v>
      </c>
      <c r="E290" s="43">
        <v>9.9</v>
      </c>
      <c r="F290" s="43">
        <v>0.6</v>
      </c>
      <c r="G290" s="43">
        <v>9.4</v>
      </c>
      <c r="H290" s="43">
        <v>1.8</v>
      </c>
      <c r="I290" s="43">
        <v>6.1</v>
      </c>
      <c r="J290" s="43">
        <v>2.6</v>
      </c>
      <c r="K290" s="43">
        <v>7.6</v>
      </c>
      <c r="L290" s="43">
        <v>9.9</v>
      </c>
    </row>
    <row r="291" spans="1:12" ht="15" customHeight="1" x14ac:dyDescent="0.25">
      <c r="A291" s="41" t="s">
        <v>149</v>
      </c>
      <c r="B291" s="43">
        <v>55.7</v>
      </c>
      <c r="C291" s="43">
        <v>1.6</v>
      </c>
      <c r="D291" s="43">
        <v>11.1</v>
      </c>
      <c r="E291" s="43">
        <v>10.1</v>
      </c>
      <c r="F291" s="43">
        <v>0.4</v>
      </c>
      <c r="G291" s="43">
        <v>9.8000000000000007</v>
      </c>
      <c r="H291" s="43">
        <v>1.6</v>
      </c>
      <c r="I291" s="43">
        <v>4.3</v>
      </c>
      <c r="J291" s="43">
        <v>2</v>
      </c>
      <c r="K291" s="43">
        <v>7.1</v>
      </c>
      <c r="L291" s="43">
        <v>10.5</v>
      </c>
    </row>
    <row r="292" spans="1:12" ht="15" customHeight="1" x14ac:dyDescent="0.25">
      <c r="A292" s="41" t="s">
        <v>150</v>
      </c>
      <c r="B292" s="43">
        <v>59</v>
      </c>
      <c r="C292" s="43">
        <v>1.4</v>
      </c>
      <c r="D292" s="43">
        <v>11.2</v>
      </c>
      <c r="E292" s="43">
        <v>11.1</v>
      </c>
      <c r="F292" s="43">
        <v>0.4</v>
      </c>
      <c r="G292" s="43">
        <v>9.6</v>
      </c>
      <c r="H292" s="43">
        <v>1.4</v>
      </c>
      <c r="I292" s="43">
        <v>3.4</v>
      </c>
      <c r="J292" s="43">
        <v>2.2999999999999998</v>
      </c>
      <c r="K292" s="43">
        <v>11.7</v>
      </c>
      <c r="L292" s="43">
        <v>10.199999999999999</v>
      </c>
    </row>
    <row r="293" spans="1:12" ht="15" customHeight="1" x14ac:dyDescent="0.25">
      <c r="A293" s="41" t="s">
        <v>151</v>
      </c>
      <c r="B293" s="43">
        <v>67.099999999999994</v>
      </c>
      <c r="C293" s="43">
        <v>1.7</v>
      </c>
      <c r="D293" s="43">
        <v>14.3</v>
      </c>
      <c r="E293" s="43">
        <v>13.1</v>
      </c>
      <c r="F293" s="43">
        <v>0.4</v>
      </c>
      <c r="G293" s="43">
        <v>10.3</v>
      </c>
      <c r="H293" s="43">
        <v>1.5</v>
      </c>
      <c r="I293" s="43">
        <v>3.3</v>
      </c>
      <c r="J293" s="43">
        <v>2.7</v>
      </c>
      <c r="K293" s="43">
        <v>10.8</v>
      </c>
      <c r="L293" s="43">
        <v>11.3</v>
      </c>
    </row>
    <row r="294" spans="1:12" ht="24" customHeight="1" x14ac:dyDescent="0.25">
      <c r="A294" s="40" t="s">
        <v>310</v>
      </c>
      <c r="B294" s="33" t="s">
        <v>16</v>
      </c>
      <c r="C294" s="33" t="s">
        <v>16</v>
      </c>
      <c r="D294" s="33" t="s">
        <v>16</v>
      </c>
      <c r="E294" s="33" t="s">
        <v>16</v>
      </c>
      <c r="F294" s="33" t="s">
        <v>16</v>
      </c>
      <c r="G294" s="33" t="s">
        <v>16</v>
      </c>
      <c r="H294" s="33" t="s">
        <v>16</v>
      </c>
      <c r="I294" s="33" t="s">
        <v>16</v>
      </c>
      <c r="J294" s="33" t="s">
        <v>16</v>
      </c>
      <c r="K294" s="33" t="s">
        <v>16</v>
      </c>
      <c r="L294" s="33" t="s">
        <v>16</v>
      </c>
    </row>
    <row r="295" spans="1:12" ht="15" customHeight="1" x14ac:dyDescent="0.25">
      <c r="A295" s="35" t="s">
        <v>307</v>
      </c>
      <c r="B295" s="43">
        <v>40.5</v>
      </c>
      <c r="C295" s="43">
        <v>1.9</v>
      </c>
      <c r="D295" s="43">
        <v>6.8</v>
      </c>
      <c r="E295" s="43">
        <v>5.9</v>
      </c>
      <c r="F295" s="43">
        <v>0.6</v>
      </c>
      <c r="G295" s="43">
        <v>7.5</v>
      </c>
      <c r="H295" s="43">
        <v>6.4</v>
      </c>
      <c r="I295" s="43">
        <v>10.3</v>
      </c>
      <c r="J295" s="43">
        <v>2.1</v>
      </c>
      <c r="K295" s="43">
        <v>2.5</v>
      </c>
      <c r="L295" s="43">
        <v>8.3000000000000007</v>
      </c>
    </row>
    <row r="296" spans="1:12" ht="15" customHeight="1" x14ac:dyDescent="0.25">
      <c r="A296" s="41" t="s">
        <v>308</v>
      </c>
      <c r="B296" s="43">
        <v>49.7</v>
      </c>
      <c r="C296" s="43">
        <v>1.7</v>
      </c>
      <c r="D296" s="43">
        <v>7.4</v>
      </c>
      <c r="E296" s="43">
        <v>7.8</v>
      </c>
      <c r="F296" s="43">
        <v>0.5</v>
      </c>
      <c r="G296" s="43">
        <v>8.6999999999999993</v>
      </c>
      <c r="H296" s="43">
        <v>3.4</v>
      </c>
      <c r="I296" s="43">
        <v>9.8000000000000007</v>
      </c>
      <c r="J296" s="43">
        <v>2</v>
      </c>
      <c r="K296" s="43">
        <v>4</v>
      </c>
      <c r="L296" s="43">
        <v>8.6999999999999993</v>
      </c>
    </row>
    <row r="297" spans="1:12" ht="15" customHeight="1" x14ac:dyDescent="0.25">
      <c r="A297" s="41" t="s">
        <v>146</v>
      </c>
      <c r="B297" s="43">
        <v>55</v>
      </c>
      <c r="C297" s="43">
        <v>1.6</v>
      </c>
      <c r="D297" s="43">
        <v>8.9</v>
      </c>
      <c r="E297" s="43">
        <v>9.5</v>
      </c>
      <c r="F297" s="43">
        <v>0.7</v>
      </c>
      <c r="G297" s="43">
        <v>9.4</v>
      </c>
      <c r="H297" s="43">
        <v>1.8</v>
      </c>
      <c r="I297" s="43">
        <v>9.1999999999999993</v>
      </c>
      <c r="J297" s="43">
        <v>2</v>
      </c>
      <c r="K297" s="43">
        <v>5.6</v>
      </c>
      <c r="L297" s="43">
        <v>9</v>
      </c>
    </row>
    <row r="298" spans="1:12" ht="15" customHeight="1" x14ac:dyDescent="0.25">
      <c r="A298" s="41" t="s">
        <v>147</v>
      </c>
      <c r="B298" s="43">
        <v>65.3</v>
      </c>
      <c r="C298" s="43">
        <v>1.6</v>
      </c>
      <c r="D298" s="43">
        <v>12.3</v>
      </c>
      <c r="E298" s="43">
        <v>13</v>
      </c>
      <c r="F298" s="43">
        <v>0.4</v>
      </c>
      <c r="G298" s="43">
        <v>11</v>
      </c>
      <c r="H298" s="43">
        <v>1.9</v>
      </c>
      <c r="I298" s="43">
        <v>6.3</v>
      </c>
      <c r="J298" s="43">
        <v>2.8</v>
      </c>
      <c r="K298" s="43">
        <v>8.9</v>
      </c>
      <c r="L298" s="43">
        <v>11.3</v>
      </c>
    </row>
    <row r="299" spans="1:12" ht="15" customHeight="1" x14ac:dyDescent="0.25">
      <c r="A299" s="35" t="s">
        <v>148</v>
      </c>
      <c r="B299" s="43">
        <v>63.7</v>
      </c>
      <c r="C299" s="43">
        <v>1.7</v>
      </c>
      <c r="D299" s="43">
        <v>13.8</v>
      </c>
      <c r="E299" s="43">
        <v>11.9</v>
      </c>
      <c r="F299" s="43">
        <v>0.3</v>
      </c>
      <c r="G299" s="43">
        <v>10.5</v>
      </c>
      <c r="H299" s="43">
        <v>1.8</v>
      </c>
      <c r="I299" s="43">
        <v>3.6</v>
      </c>
      <c r="J299" s="43">
        <v>2.4</v>
      </c>
      <c r="K299" s="43">
        <v>9.6</v>
      </c>
      <c r="L299" s="43">
        <v>10.8</v>
      </c>
    </row>
    <row r="300" spans="1:12" ht="15" customHeight="1" x14ac:dyDescent="0.25">
      <c r="A300" s="35" t="s">
        <v>311</v>
      </c>
      <c r="B300" s="43">
        <v>88</v>
      </c>
      <c r="C300" s="43">
        <v>1.6</v>
      </c>
      <c r="D300" s="43">
        <v>17.100000000000001</v>
      </c>
      <c r="E300" s="43">
        <v>14.5</v>
      </c>
      <c r="F300" s="43">
        <v>0.4</v>
      </c>
      <c r="G300" s="43">
        <v>11.9</v>
      </c>
      <c r="H300" s="43">
        <v>2</v>
      </c>
      <c r="I300" s="43">
        <v>4.0999999999999996</v>
      </c>
      <c r="J300" s="43">
        <v>2.7</v>
      </c>
      <c r="K300" s="43">
        <v>23.3</v>
      </c>
      <c r="L300" s="43">
        <v>14</v>
      </c>
    </row>
    <row r="301" spans="1:12" ht="24" customHeight="1" x14ac:dyDescent="0.25">
      <c r="A301" s="40" t="s">
        <v>312</v>
      </c>
      <c r="B301" s="33" t="s">
        <v>16</v>
      </c>
      <c r="C301" s="33" t="s">
        <v>16</v>
      </c>
      <c r="D301" s="33" t="s">
        <v>16</v>
      </c>
      <c r="E301" s="33" t="s">
        <v>16</v>
      </c>
      <c r="F301" s="33" t="s">
        <v>16</v>
      </c>
      <c r="G301" s="33" t="s">
        <v>16</v>
      </c>
      <c r="H301" s="33" t="s">
        <v>16</v>
      </c>
      <c r="I301" s="33" t="s">
        <v>16</v>
      </c>
      <c r="J301" s="33" t="s">
        <v>16</v>
      </c>
      <c r="K301" s="33" t="s">
        <v>16</v>
      </c>
      <c r="L301" s="33" t="s">
        <v>16</v>
      </c>
    </row>
    <row r="302" spans="1:12" ht="15" customHeight="1" x14ac:dyDescent="0.25">
      <c r="A302" s="35" t="s">
        <v>307</v>
      </c>
      <c r="B302" s="43">
        <v>44.6</v>
      </c>
      <c r="C302" s="43">
        <v>1.9</v>
      </c>
      <c r="D302" s="43">
        <v>7</v>
      </c>
      <c r="E302" s="43">
        <v>6.1</v>
      </c>
      <c r="F302" s="43">
        <v>0.6</v>
      </c>
      <c r="G302" s="43">
        <v>7.6</v>
      </c>
      <c r="H302" s="43">
        <v>10.6</v>
      </c>
      <c r="I302" s="43">
        <v>15.3</v>
      </c>
      <c r="J302" s="43">
        <v>1.9</v>
      </c>
      <c r="K302" s="43">
        <v>3.1</v>
      </c>
      <c r="L302" s="43">
        <v>8.1</v>
      </c>
    </row>
    <row r="303" spans="1:12" ht="15" customHeight="1" x14ac:dyDescent="0.25">
      <c r="A303" s="41" t="s">
        <v>133</v>
      </c>
      <c r="B303" s="43">
        <v>42.9</v>
      </c>
      <c r="C303" s="43">
        <v>1.7</v>
      </c>
      <c r="D303" s="43">
        <v>6.3</v>
      </c>
      <c r="E303" s="43">
        <v>6</v>
      </c>
      <c r="F303" s="43">
        <v>0.5</v>
      </c>
      <c r="G303" s="43">
        <v>7.4</v>
      </c>
      <c r="H303" s="43">
        <v>3.3</v>
      </c>
      <c r="I303" s="43">
        <v>9.3000000000000007</v>
      </c>
      <c r="J303" s="43">
        <v>1.8</v>
      </c>
      <c r="K303" s="43">
        <v>2.9</v>
      </c>
      <c r="L303" s="43">
        <v>8.3000000000000007</v>
      </c>
    </row>
    <row r="304" spans="1:12" ht="15" customHeight="1" x14ac:dyDescent="0.25">
      <c r="A304" s="41" t="s">
        <v>313</v>
      </c>
      <c r="B304" s="43">
        <v>49.1</v>
      </c>
      <c r="C304" s="43">
        <v>1.8</v>
      </c>
      <c r="D304" s="43">
        <v>7.9</v>
      </c>
      <c r="E304" s="43">
        <v>8.1999999999999993</v>
      </c>
      <c r="F304" s="43">
        <v>0.5</v>
      </c>
      <c r="G304" s="43">
        <v>8.8000000000000007</v>
      </c>
      <c r="H304" s="43">
        <v>1.6</v>
      </c>
      <c r="I304" s="43">
        <v>7.3</v>
      </c>
      <c r="J304" s="43">
        <v>2.2000000000000002</v>
      </c>
      <c r="K304" s="43">
        <v>5.2</v>
      </c>
      <c r="L304" s="43">
        <v>8.5</v>
      </c>
    </row>
    <row r="305" spans="1:12" ht="15" customHeight="1" x14ac:dyDescent="0.25">
      <c r="A305" s="41" t="s">
        <v>146</v>
      </c>
      <c r="B305" s="43">
        <v>55.5</v>
      </c>
      <c r="C305" s="43">
        <v>1.5</v>
      </c>
      <c r="D305" s="43">
        <v>9.1</v>
      </c>
      <c r="E305" s="43">
        <v>9.5</v>
      </c>
      <c r="F305" s="43">
        <v>0.6</v>
      </c>
      <c r="G305" s="43">
        <v>10.3</v>
      </c>
      <c r="H305" s="43">
        <v>1.4</v>
      </c>
      <c r="I305" s="43">
        <v>6.8</v>
      </c>
      <c r="J305" s="43">
        <v>1.9</v>
      </c>
      <c r="K305" s="43">
        <v>7.5</v>
      </c>
      <c r="L305" s="43">
        <v>9.3000000000000007</v>
      </c>
    </row>
    <row r="306" spans="1:12" ht="15" customHeight="1" x14ac:dyDescent="0.25">
      <c r="A306" s="41" t="s">
        <v>314</v>
      </c>
      <c r="B306" s="43">
        <v>67.3</v>
      </c>
      <c r="C306" s="43">
        <v>1.5</v>
      </c>
      <c r="D306" s="43">
        <v>13.9</v>
      </c>
      <c r="E306" s="43">
        <v>13.4</v>
      </c>
      <c r="F306" s="43">
        <v>0.4</v>
      </c>
      <c r="G306" s="43">
        <v>11</v>
      </c>
      <c r="H306" s="43">
        <v>2</v>
      </c>
      <c r="I306" s="43">
        <v>3.9</v>
      </c>
      <c r="J306" s="43">
        <v>3</v>
      </c>
      <c r="K306" s="43">
        <v>9.5</v>
      </c>
      <c r="L306" s="43">
        <v>12.5</v>
      </c>
    </row>
    <row r="307" spans="1:12" ht="24" customHeight="1" x14ac:dyDescent="0.25">
      <c r="A307" s="40" t="s">
        <v>315</v>
      </c>
      <c r="B307" s="33" t="s">
        <v>16</v>
      </c>
      <c r="C307" s="33" t="s">
        <v>16</v>
      </c>
      <c r="D307" s="33" t="s">
        <v>16</v>
      </c>
      <c r="E307" s="33" t="s">
        <v>16</v>
      </c>
      <c r="F307" s="33" t="s">
        <v>16</v>
      </c>
      <c r="G307" s="33" t="s">
        <v>16</v>
      </c>
      <c r="H307" s="33" t="s">
        <v>16</v>
      </c>
      <c r="I307" s="33" t="s">
        <v>16</v>
      </c>
      <c r="J307" s="33" t="s">
        <v>16</v>
      </c>
      <c r="K307" s="33" t="s">
        <v>16</v>
      </c>
      <c r="L307" s="33" t="s">
        <v>16</v>
      </c>
    </row>
    <row r="308" spans="1:12" ht="15" customHeight="1" x14ac:dyDescent="0.25">
      <c r="A308" s="35" t="s">
        <v>307</v>
      </c>
      <c r="B308" s="43">
        <v>34.5</v>
      </c>
      <c r="C308" s="43">
        <v>1.6</v>
      </c>
      <c r="D308" s="43">
        <v>5.0999999999999996</v>
      </c>
      <c r="E308" s="43">
        <v>4.9000000000000004</v>
      </c>
      <c r="F308" s="43">
        <v>0.3</v>
      </c>
      <c r="G308" s="43">
        <v>6.9</v>
      </c>
      <c r="H308" s="43">
        <v>6.6</v>
      </c>
      <c r="I308" s="43">
        <v>9.3000000000000007</v>
      </c>
      <c r="J308" s="43">
        <v>0.8</v>
      </c>
      <c r="K308" s="43">
        <v>4.2</v>
      </c>
      <c r="L308" s="43">
        <v>7.5</v>
      </c>
    </row>
    <row r="309" spans="1:12" ht="15" customHeight="1" x14ac:dyDescent="0.25">
      <c r="A309" s="41" t="s">
        <v>133</v>
      </c>
      <c r="B309" s="43">
        <v>41.2</v>
      </c>
      <c r="C309" s="43">
        <v>1.5</v>
      </c>
      <c r="D309" s="43">
        <v>5.2</v>
      </c>
      <c r="E309" s="43">
        <v>6</v>
      </c>
      <c r="F309" s="43">
        <v>0.3</v>
      </c>
      <c r="G309" s="43">
        <v>7.5</v>
      </c>
      <c r="H309" s="43">
        <v>5.7</v>
      </c>
      <c r="I309" s="43">
        <v>9.6</v>
      </c>
      <c r="J309" s="43">
        <v>1.3</v>
      </c>
      <c r="K309" s="43">
        <v>3.4</v>
      </c>
      <c r="L309" s="43">
        <v>7.7</v>
      </c>
    </row>
    <row r="310" spans="1:12" ht="15" customHeight="1" x14ac:dyDescent="0.25">
      <c r="A310" s="41" t="s">
        <v>313</v>
      </c>
      <c r="B310" s="43">
        <v>48.9</v>
      </c>
      <c r="C310" s="43">
        <v>1.7</v>
      </c>
      <c r="D310" s="43">
        <v>7.8</v>
      </c>
      <c r="E310" s="43">
        <v>7.6</v>
      </c>
      <c r="F310" s="43">
        <v>0.5</v>
      </c>
      <c r="G310" s="43">
        <v>8.9</v>
      </c>
      <c r="H310" s="43">
        <v>4.5999999999999996</v>
      </c>
      <c r="I310" s="43">
        <v>9.1999999999999993</v>
      </c>
      <c r="J310" s="43">
        <v>1.6</v>
      </c>
      <c r="K310" s="43">
        <v>4.2</v>
      </c>
      <c r="L310" s="43">
        <v>8.9</v>
      </c>
    </row>
    <row r="311" spans="1:12" ht="15" customHeight="1" x14ac:dyDescent="0.25">
      <c r="A311" s="41" t="s">
        <v>146</v>
      </c>
      <c r="B311" s="43">
        <v>62.9</v>
      </c>
      <c r="C311" s="43">
        <v>2.5</v>
      </c>
      <c r="D311" s="43">
        <v>10.1</v>
      </c>
      <c r="E311" s="43">
        <v>9.9</v>
      </c>
      <c r="F311" s="43">
        <v>0.6</v>
      </c>
      <c r="G311" s="43">
        <v>9.6</v>
      </c>
      <c r="H311" s="43">
        <v>5.4</v>
      </c>
      <c r="I311" s="43">
        <v>11.8</v>
      </c>
      <c r="J311" s="43">
        <v>2</v>
      </c>
      <c r="K311" s="43">
        <v>7.3</v>
      </c>
      <c r="L311" s="43">
        <v>9.6</v>
      </c>
    </row>
    <row r="312" spans="1:12" ht="15" customHeight="1" x14ac:dyDescent="0.25">
      <c r="A312" s="41" t="s">
        <v>147</v>
      </c>
      <c r="B312" s="43">
        <v>61.3</v>
      </c>
      <c r="C312" s="43">
        <v>1.7</v>
      </c>
      <c r="D312" s="43">
        <v>10.7</v>
      </c>
      <c r="E312" s="43">
        <v>11.1</v>
      </c>
      <c r="F312" s="43">
        <v>0.7</v>
      </c>
      <c r="G312" s="43">
        <v>10.3</v>
      </c>
      <c r="H312" s="43">
        <v>2.8</v>
      </c>
      <c r="I312" s="43">
        <v>9.8000000000000007</v>
      </c>
      <c r="J312" s="43">
        <v>2</v>
      </c>
      <c r="K312" s="43">
        <v>6.7</v>
      </c>
      <c r="L312" s="43">
        <v>9.6999999999999993</v>
      </c>
    </row>
    <row r="313" spans="1:12" ht="15" customHeight="1" x14ac:dyDescent="0.25">
      <c r="A313" s="41" t="s">
        <v>148</v>
      </c>
      <c r="B313" s="43">
        <v>59.1</v>
      </c>
      <c r="C313" s="43">
        <v>1.6</v>
      </c>
      <c r="D313" s="43">
        <v>10.3</v>
      </c>
      <c r="E313" s="43">
        <v>10.6</v>
      </c>
      <c r="F313" s="43">
        <v>0.8</v>
      </c>
      <c r="G313" s="43">
        <v>10</v>
      </c>
      <c r="H313" s="43">
        <v>1.3</v>
      </c>
      <c r="I313" s="43">
        <v>9.5</v>
      </c>
      <c r="J313" s="43">
        <v>2.6</v>
      </c>
      <c r="K313" s="43">
        <v>5.8</v>
      </c>
      <c r="L313" s="43">
        <v>8.9</v>
      </c>
    </row>
    <row r="314" spans="1:12" ht="15" customHeight="1" x14ac:dyDescent="0.25">
      <c r="A314" s="41" t="s">
        <v>149</v>
      </c>
      <c r="B314" s="43">
        <v>60.3</v>
      </c>
      <c r="C314" s="43">
        <v>2</v>
      </c>
      <c r="D314" s="43">
        <v>9.8000000000000007</v>
      </c>
      <c r="E314" s="43">
        <v>9.9</v>
      </c>
      <c r="F314" s="43">
        <v>0.9</v>
      </c>
      <c r="G314" s="43">
        <v>9.9</v>
      </c>
      <c r="H314" s="43">
        <v>1.7</v>
      </c>
      <c r="I314" s="43">
        <v>6.7</v>
      </c>
      <c r="J314" s="43">
        <v>4.3</v>
      </c>
      <c r="K314" s="43">
        <v>8.6999999999999993</v>
      </c>
      <c r="L314" s="43">
        <v>10.4</v>
      </c>
    </row>
    <row r="315" spans="1:12" ht="15" customHeight="1" x14ac:dyDescent="0.25">
      <c r="A315" s="41" t="s">
        <v>316</v>
      </c>
      <c r="B315" s="43">
        <v>67.3</v>
      </c>
      <c r="C315" s="43">
        <v>1.4</v>
      </c>
      <c r="D315" s="43">
        <v>14.3</v>
      </c>
      <c r="E315" s="43">
        <v>11.5</v>
      </c>
      <c r="F315" s="43">
        <v>0.6</v>
      </c>
      <c r="G315" s="43">
        <v>9.6</v>
      </c>
      <c r="H315" s="43">
        <v>3.3</v>
      </c>
      <c r="I315" s="43">
        <v>5.5</v>
      </c>
      <c r="J315" s="43">
        <v>6.1</v>
      </c>
      <c r="K315" s="43">
        <v>4.9000000000000004</v>
      </c>
      <c r="L315" s="43">
        <v>13.8</v>
      </c>
    </row>
    <row r="316" spans="1:12" ht="45.95" customHeight="1" x14ac:dyDescent="0.25">
      <c r="A316" s="40" t="s">
        <v>317</v>
      </c>
      <c r="B316" s="33" t="s">
        <v>16</v>
      </c>
      <c r="C316" s="33" t="s">
        <v>16</v>
      </c>
      <c r="D316" s="33" t="s">
        <v>16</v>
      </c>
      <c r="E316" s="33" t="s">
        <v>16</v>
      </c>
      <c r="F316" s="33" t="s">
        <v>16</v>
      </c>
      <c r="G316" s="33" t="s">
        <v>16</v>
      </c>
      <c r="H316" s="33" t="s">
        <v>16</v>
      </c>
      <c r="I316" s="33" t="s">
        <v>16</v>
      </c>
      <c r="J316" s="33" t="s">
        <v>16</v>
      </c>
      <c r="K316" s="33" t="s">
        <v>16</v>
      </c>
      <c r="L316" s="33" t="s">
        <v>16</v>
      </c>
    </row>
    <row r="317" spans="1:12" ht="15" customHeight="1" x14ac:dyDescent="0.25">
      <c r="A317" s="35" t="s">
        <v>318</v>
      </c>
      <c r="B317" s="43">
        <v>65.900000000000006</v>
      </c>
      <c r="C317" s="43">
        <v>1.7</v>
      </c>
      <c r="D317" s="43">
        <v>12.8</v>
      </c>
      <c r="E317" s="43">
        <v>10</v>
      </c>
      <c r="F317" s="43">
        <v>0.6</v>
      </c>
      <c r="G317" s="43">
        <v>9.4</v>
      </c>
      <c r="H317" s="43">
        <v>2.1</v>
      </c>
      <c r="I317" s="43">
        <v>13.3</v>
      </c>
      <c r="J317" s="43">
        <v>2.6</v>
      </c>
      <c r="K317" s="43">
        <v>5.2</v>
      </c>
      <c r="L317" s="43">
        <v>10.4</v>
      </c>
    </row>
    <row r="318" spans="1:12" ht="15" customHeight="1" x14ac:dyDescent="0.25">
      <c r="A318" s="41" t="s">
        <v>319</v>
      </c>
      <c r="B318" s="43">
        <v>78.2</v>
      </c>
      <c r="C318" s="43">
        <v>1.3</v>
      </c>
      <c r="D318" s="43">
        <v>12.6</v>
      </c>
      <c r="E318" s="43">
        <v>12.4</v>
      </c>
      <c r="F318" s="43">
        <v>0.8</v>
      </c>
      <c r="G318" s="43">
        <v>11.6</v>
      </c>
      <c r="H318" s="43">
        <v>2.2999999999999998</v>
      </c>
      <c r="I318" s="43">
        <v>20.6</v>
      </c>
      <c r="J318" s="43">
        <v>3</v>
      </c>
      <c r="K318" s="43">
        <v>4.4000000000000004</v>
      </c>
      <c r="L318" s="43">
        <v>11.3</v>
      </c>
    </row>
    <row r="319" spans="1:12" ht="15" customHeight="1" x14ac:dyDescent="0.25">
      <c r="A319" s="41" t="s">
        <v>320</v>
      </c>
      <c r="B319" s="43">
        <v>58.5</v>
      </c>
      <c r="C319" s="43">
        <v>1.6</v>
      </c>
      <c r="D319" s="43">
        <v>12.4</v>
      </c>
      <c r="E319" s="43">
        <v>10.199999999999999</v>
      </c>
      <c r="F319" s="43">
        <v>0.6</v>
      </c>
      <c r="G319" s="43">
        <v>9.1</v>
      </c>
      <c r="H319" s="43">
        <v>1.8</v>
      </c>
      <c r="I319" s="43">
        <v>6.9</v>
      </c>
      <c r="J319" s="43">
        <v>2.7</v>
      </c>
      <c r="K319" s="43">
        <v>5.7</v>
      </c>
      <c r="L319" s="43">
        <v>9.9</v>
      </c>
    </row>
    <row r="320" spans="1:12" ht="27.95" customHeight="1" x14ac:dyDescent="0.25">
      <c r="A320" s="41" t="s">
        <v>321</v>
      </c>
      <c r="B320" s="43">
        <v>61.7</v>
      </c>
      <c r="C320" s="43">
        <v>1.7</v>
      </c>
      <c r="D320" s="43">
        <v>11.5</v>
      </c>
      <c r="E320" s="43">
        <v>9.6999999999999993</v>
      </c>
      <c r="F320" s="43">
        <v>0.7</v>
      </c>
      <c r="G320" s="43">
        <v>8.8000000000000007</v>
      </c>
      <c r="H320" s="43">
        <v>2.2999999999999998</v>
      </c>
      <c r="I320" s="43">
        <v>12.4</v>
      </c>
      <c r="J320" s="43">
        <v>2.9</v>
      </c>
      <c r="K320" s="43">
        <v>4</v>
      </c>
      <c r="L320" s="43">
        <v>10.199999999999999</v>
      </c>
    </row>
    <row r="321" spans="1:12" ht="15" customHeight="1" x14ac:dyDescent="0.25">
      <c r="A321" s="41" t="s">
        <v>322</v>
      </c>
      <c r="B321" s="43">
        <v>49.3</v>
      </c>
      <c r="C321" s="43">
        <v>1.6</v>
      </c>
      <c r="D321" s="43">
        <v>9.5</v>
      </c>
      <c r="E321" s="43">
        <v>7.5</v>
      </c>
      <c r="F321" s="43">
        <v>0.5</v>
      </c>
      <c r="G321" s="43">
        <v>7.3</v>
      </c>
      <c r="H321" s="43">
        <v>1.8</v>
      </c>
      <c r="I321" s="43">
        <v>7.7</v>
      </c>
      <c r="J321" s="43">
        <v>2.4</v>
      </c>
      <c r="K321" s="43">
        <v>4</v>
      </c>
      <c r="L321" s="43">
        <v>9.1</v>
      </c>
    </row>
    <row r="322" spans="1:12" ht="33.950000000000003" customHeight="1" x14ac:dyDescent="0.25">
      <c r="A322" s="40" t="s">
        <v>323</v>
      </c>
      <c r="B322" s="33" t="s">
        <v>16</v>
      </c>
      <c r="C322" s="33" t="s">
        <v>16</v>
      </c>
      <c r="D322" s="33" t="s">
        <v>16</v>
      </c>
      <c r="E322" s="33" t="s">
        <v>16</v>
      </c>
      <c r="F322" s="33" t="s">
        <v>16</v>
      </c>
      <c r="G322" s="33" t="s">
        <v>16</v>
      </c>
      <c r="H322" s="33" t="s">
        <v>16</v>
      </c>
      <c r="I322" s="33" t="s">
        <v>16</v>
      </c>
      <c r="J322" s="33" t="s">
        <v>16</v>
      </c>
      <c r="K322" s="33" t="s">
        <v>16</v>
      </c>
      <c r="L322" s="33" t="s">
        <v>16</v>
      </c>
    </row>
    <row r="323" spans="1:12" ht="15" customHeight="1" x14ac:dyDescent="0.25">
      <c r="A323" s="35" t="s">
        <v>324</v>
      </c>
      <c r="B323" s="43">
        <v>73.3</v>
      </c>
      <c r="C323" s="43">
        <v>1.9</v>
      </c>
      <c r="D323" s="43">
        <v>16.2</v>
      </c>
      <c r="E323" s="43">
        <v>12.7</v>
      </c>
      <c r="F323" s="43">
        <v>0.3</v>
      </c>
      <c r="G323" s="43">
        <v>11.2</v>
      </c>
      <c r="H323" s="43">
        <v>1.9</v>
      </c>
      <c r="I323" s="43">
        <v>4.3</v>
      </c>
      <c r="J323" s="43">
        <v>2.8</v>
      </c>
      <c r="K323" s="43">
        <v>13.6</v>
      </c>
      <c r="L323" s="43">
        <v>12.4</v>
      </c>
    </row>
    <row r="324" spans="1:12" ht="15" customHeight="1" x14ac:dyDescent="0.25">
      <c r="A324" s="41" t="s">
        <v>325</v>
      </c>
      <c r="B324" s="43">
        <v>57.7</v>
      </c>
      <c r="C324" s="43">
        <v>1.5</v>
      </c>
      <c r="D324" s="43">
        <v>11.3</v>
      </c>
      <c r="E324" s="43">
        <v>10</v>
      </c>
      <c r="F324" s="43">
        <v>0.5</v>
      </c>
      <c r="G324" s="43">
        <v>9.8000000000000007</v>
      </c>
      <c r="H324" s="43">
        <v>1.6</v>
      </c>
      <c r="I324" s="43">
        <v>7.1</v>
      </c>
      <c r="J324" s="43">
        <v>2.2000000000000002</v>
      </c>
      <c r="K324" s="43">
        <v>6.9</v>
      </c>
      <c r="L324" s="43">
        <v>9.5</v>
      </c>
    </row>
    <row r="325" spans="1:12" ht="15" customHeight="1" x14ac:dyDescent="0.25">
      <c r="A325" s="41" t="s">
        <v>326</v>
      </c>
      <c r="B325" s="43">
        <v>48.3</v>
      </c>
      <c r="C325" s="43">
        <v>1.7</v>
      </c>
      <c r="D325" s="43">
        <v>9.8000000000000007</v>
      </c>
      <c r="E325" s="43">
        <v>7.9</v>
      </c>
      <c r="F325" s="43">
        <v>0.7</v>
      </c>
      <c r="G325" s="43">
        <v>7.7</v>
      </c>
      <c r="H325" s="43">
        <v>1.6</v>
      </c>
      <c r="I325" s="43">
        <v>5.7</v>
      </c>
      <c r="J325" s="43">
        <v>2.5</v>
      </c>
      <c r="K325" s="43">
        <v>5.5</v>
      </c>
      <c r="L325" s="43">
        <v>8.3000000000000007</v>
      </c>
    </row>
    <row r="326" spans="1:12" s="49" customFormat="1" ht="33.950000000000003" customHeight="1" x14ac:dyDescent="0.25">
      <c r="A326" s="40" t="s">
        <v>327</v>
      </c>
      <c r="B326" s="46" t="s">
        <v>16</v>
      </c>
      <c r="C326" s="46" t="s">
        <v>16</v>
      </c>
      <c r="D326" s="46" t="s">
        <v>16</v>
      </c>
      <c r="E326" s="46" t="s">
        <v>16</v>
      </c>
      <c r="F326" s="46" t="s">
        <v>16</v>
      </c>
      <c r="G326" s="46" t="s">
        <v>16</v>
      </c>
      <c r="H326" s="46" t="s">
        <v>16</v>
      </c>
      <c r="I326" s="46" t="s">
        <v>16</v>
      </c>
      <c r="J326" s="46" t="s">
        <v>16</v>
      </c>
      <c r="K326" s="46" t="s">
        <v>16</v>
      </c>
      <c r="L326" s="46" t="s">
        <v>16</v>
      </c>
    </row>
    <row r="327" spans="1:12" s="49" customFormat="1" ht="15" customHeight="1" x14ac:dyDescent="0.25">
      <c r="A327" s="41" t="s">
        <v>328</v>
      </c>
      <c r="B327" s="43">
        <v>59.8</v>
      </c>
      <c r="C327" s="43">
        <v>1.8</v>
      </c>
      <c r="D327" s="43">
        <v>9.6</v>
      </c>
      <c r="E327" s="43">
        <v>11.1</v>
      </c>
      <c r="F327" s="43">
        <v>0.5</v>
      </c>
      <c r="G327" s="43">
        <v>10.199999999999999</v>
      </c>
      <c r="H327" s="43">
        <v>2.7</v>
      </c>
      <c r="I327" s="43">
        <v>8.3000000000000007</v>
      </c>
      <c r="J327" s="43">
        <v>2.2000000000000002</v>
      </c>
      <c r="K327" s="43">
        <v>6.5</v>
      </c>
      <c r="L327" s="43">
        <v>10.7</v>
      </c>
    </row>
    <row r="328" spans="1:12" s="49" customFormat="1" ht="15" customHeight="1" x14ac:dyDescent="0.25">
      <c r="A328" s="41" t="s">
        <v>329</v>
      </c>
      <c r="B328" s="43">
        <v>54.6</v>
      </c>
      <c r="C328" s="43">
        <v>1.7</v>
      </c>
      <c r="D328" s="43">
        <v>8.9</v>
      </c>
      <c r="E328" s="43">
        <v>9</v>
      </c>
      <c r="F328" s="43">
        <v>0.5</v>
      </c>
      <c r="G328" s="43">
        <v>9.3000000000000007</v>
      </c>
      <c r="H328" s="43">
        <v>3.6</v>
      </c>
      <c r="I328" s="43">
        <v>9.1999999999999993</v>
      </c>
      <c r="J328" s="43">
        <v>2.2000000000000002</v>
      </c>
      <c r="K328" s="43">
        <v>5.6</v>
      </c>
      <c r="L328" s="43">
        <v>9.6</v>
      </c>
    </row>
    <row r="329" spans="1:12" s="49" customFormat="1" ht="15" customHeight="1" x14ac:dyDescent="0.25">
      <c r="A329" s="41" t="s">
        <v>807</v>
      </c>
      <c r="B329" s="43">
        <v>61.7</v>
      </c>
      <c r="C329" s="43">
        <v>1.7</v>
      </c>
      <c r="D329" s="43">
        <v>10.9</v>
      </c>
      <c r="E329" s="43">
        <v>10.9</v>
      </c>
      <c r="F329" s="43">
        <v>0.5</v>
      </c>
      <c r="G329" s="43">
        <v>10.3</v>
      </c>
      <c r="H329" s="43">
        <v>2.4</v>
      </c>
      <c r="I329" s="43">
        <v>8.9</v>
      </c>
      <c r="J329" s="43">
        <v>2.2000000000000002</v>
      </c>
      <c r="K329" s="43">
        <v>6.9</v>
      </c>
      <c r="L329" s="43">
        <v>10.8</v>
      </c>
    </row>
    <row r="330" spans="1:12" s="49" customFormat="1" ht="45.95" customHeight="1" x14ac:dyDescent="0.25">
      <c r="A330" s="40" t="s">
        <v>331</v>
      </c>
      <c r="B330" s="46" t="s">
        <v>16</v>
      </c>
      <c r="C330" s="46" t="s">
        <v>16</v>
      </c>
      <c r="D330" s="46" t="s">
        <v>16</v>
      </c>
      <c r="E330" s="46" t="s">
        <v>16</v>
      </c>
      <c r="F330" s="46" t="s">
        <v>16</v>
      </c>
      <c r="G330" s="46" t="s">
        <v>16</v>
      </c>
      <c r="H330" s="46" t="s">
        <v>16</v>
      </c>
      <c r="I330" s="46" t="s">
        <v>16</v>
      </c>
      <c r="J330" s="46" t="s">
        <v>16</v>
      </c>
      <c r="K330" s="46" t="s">
        <v>16</v>
      </c>
      <c r="L330" s="46" t="s">
        <v>16</v>
      </c>
    </row>
    <row r="331" spans="1:12" s="49" customFormat="1" ht="15" customHeight="1" x14ac:dyDescent="0.25">
      <c r="A331" s="35" t="s">
        <v>332</v>
      </c>
      <c r="B331" s="43">
        <v>53.1</v>
      </c>
      <c r="C331" s="43">
        <v>1.9</v>
      </c>
      <c r="D331" s="43">
        <v>8.4</v>
      </c>
      <c r="E331" s="43">
        <v>8.6999999999999993</v>
      </c>
      <c r="F331" s="43">
        <v>0.6</v>
      </c>
      <c r="G331" s="43">
        <v>8.9</v>
      </c>
      <c r="H331" s="43">
        <v>3.8</v>
      </c>
      <c r="I331" s="43">
        <v>9.5</v>
      </c>
      <c r="J331" s="43">
        <v>2.2999999999999998</v>
      </c>
      <c r="K331" s="43">
        <v>5.4</v>
      </c>
      <c r="L331" s="43">
        <v>9.3000000000000007</v>
      </c>
    </row>
    <row r="332" spans="1:12" s="49" customFormat="1" ht="15" customHeight="1" x14ac:dyDescent="0.25">
      <c r="A332" s="35" t="s">
        <v>333</v>
      </c>
      <c r="B332" s="43">
        <v>55.2</v>
      </c>
      <c r="C332" s="43">
        <v>1.6</v>
      </c>
      <c r="D332" s="43">
        <v>9.5</v>
      </c>
      <c r="E332" s="43">
        <v>9.1999999999999993</v>
      </c>
      <c r="F332" s="43">
        <v>0.6</v>
      </c>
      <c r="G332" s="43">
        <v>9.4</v>
      </c>
      <c r="H332" s="43">
        <v>3.2</v>
      </c>
      <c r="I332" s="43">
        <v>9.1</v>
      </c>
      <c r="J332" s="43">
        <v>2.2000000000000002</v>
      </c>
      <c r="K332" s="43">
        <v>5.6</v>
      </c>
      <c r="L332" s="43">
        <v>9.6</v>
      </c>
    </row>
    <row r="333" spans="1:12" s="49" customFormat="1" ht="15" customHeight="1" x14ac:dyDescent="0.25">
      <c r="A333" s="35" t="s">
        <v>334</v>
      </c>
      <c r="B333" s="43">
        <v>64.7</v>
      </c>
      <c r="C333" s="43">
        <v>1.8</v>
      </c>
      <c r="D333" s="43">
        <v>11.3</v>
      </c>
      <c r="E333" s="43">
        <v>11.1</v>
      </c>
      <c r="F333" s="43">
        <v>0.5</v>
      </c>
      <c r="G333" s="43">
        <v>10.3</v>
      </c>
      <c r="H333" s="43">
        <v>2.5</v>
      </c>
      <c r="I333" s="43">
        <v>10.5</v>
      </c>
      <c r="J333" s="43">
        <v>2.6</v>
      </c>
      <c r="K333" s="43">
        <v>7.6</v>
      </c>
      <c r="L333" s="43">
        <v>10.5</v>
      </c>
    </row>
    <row r="334" spans="1:12" s="49" customFormat="1" ht="15" customHeight="1" x14ac:dyDescent="0.25">
      <c r="A334" s="41" t="s">
        <v>335</v>
      </c>
      <c r="B334" s="43">
        <v>58.5</v>
      </c>
      <c r="C334" s="43">
        <v>1.7</v>
      </c>
      <c r="D334" s="43">
        <v>9.3000000000000007</v>
      </c>
      <c r="E334" s="43">
        <v>9.3000000000000007</v>
      </c>
      <c r="F334" s="43">
        <v>0.7</v>
      </c>
      <c r="G334" s="43">
        <v>9.3000000000000007</v>
      </c>
      <c r="H334" s="43">
        <v>4.5999999999999996</v>
      </c>
      <c r="I334" s="43">
        <v>13</v>
      </c>
      <c r="J334" s="43">
        <v>2.2999999999999998</v>
      </c>
      <c r="K334" s="43">
        <v>5.0999999999999996</v>
      </c>
      <c r="L334" s="43">
        <v>9.3000000000000007</v>
      </c>
    </row>
    <row r="335" spans="1:12" s="49" customFormat="1" ht="15" customHeight="1" x14ac:dyDescent="0.25">
      <c r="A335" s="41" t="s">
        <v>336</v>
      </c>
      <c r="B335" s="43">
        <v>51.2</v>
      </c>
      <c r="C335" s="43">
        <v>1.4</v>
      </c>
      <c r="D335" s="43">
        <v>9.1</v>
      </c>
      <c r="E335" s="43">
        <v>9.4</v>
      </c>
      <c r="F335" s="43">
        <v>0.5</v>
      </c>
      <c r="G335" s="43">
        <v>9</v>
      </c>
      <c r="H335" s="43">
        <v>2.2000000000000002</v>
      </c>
      <c r="I335" s="43">
        <v>7</v>
      </c>
      <c r="J335" s="43">
        <v>2.1</v>
      </c>
      <c r="K335" s="43">
        <v>4.9000000000000004</v>
      </c>
      <c r="L335" s="43">
        <v>9.6999999999999993</v>
      </c>
    </row>
    <row r="336" spans="1:12" s="49" customFormat="1" ht="15" customHeight="1" x14ac:dyDescent="0.25">
      <c r="A336" s="41" t="s">
        <v>337</v>
      </c>
      <c r="B336" s="43">
        <v>61</v>
      </c>
      <c r="C336" s="43">
        <v>1.7</v>
      </c>
      <c r="D336" s="43">
        <v>10</v>
      </c>
      <c r="E336" s="43">
        <v>10.6</v>
      </c>
      <c r="F336" s="43">
        <v>0.6</v>
      </c>
      <c r="G336" s="43">
        <v>9.4</v>
      </c>
      <c r="H336" s="43">
        <v>2.9</v>
      </c>
      <c r="I336" s="43">
        <v>11.6</v>
      </c>
      <c r="J336" s="43">
        <v>2.2999999999999998</v>
      </c>
      <c r="K336" s="43">
        <v>6.2</v>
      </c>
      <c r="L336" s="43">
        <v>10</v>
      </c>
    </row>
    <row r="337" spans="1:12" s="49" customFormat="1" ht="15" customHeight="1" x14ac:dyDescent="0.25">
      <c r="A337" s="35" t="s">
        <v>338</v>
      </c>
      <c r="B337" s="43">
        <v>57.9</v>
      </c>
      <c r="C337" s="43">
        <v>1.6</v>
      </c>
      <c r="D337" s="43">
        <v>9.8000000000000007</v>
      </c>
      <c r="E337" s="43">
        <v>10.199999999999999</v>
      </c>
      <c r="F337" s="43">
        <v>0.5</v>
      </c>
      <c r="G337" s="43">
        <v>9.1999999999999993</v>
      </c>
      <c r="H337" s="43">
        <v>2.4</v>
      </c>
      <c r="I337" s="43">
        <v>9.3000000000000007</v>
      </c>
      <c r="J337" s="43">
        <v>2.2000000000000002</v>
      </c>
      <c r="K337" s="43">
        <v>6.4</v>
      </c>
      <c r="L337" s="43">
        <v>10.4</v>
      </c>
    </row>
    <row r="338" spans="1:12" s="49" customFormat="1" ht="15" customHeight="1" x14ac:dyDescent="0.25">
      <c r="A338" s="35" t="s">
        <v>339</v>
      </c>
      <c r="B338" s="43">
        <v>63.9</v>
      </c>
      <c r="C338" s="43">
        <v>1.9</v>
      </c>
      <c r="D338" s="43">
        <v>10.7</v>
      </c>
      <c r="E338" s="43">
        <v>11.1</v>
      </c>
      <c r="F338" s="43">
        <v>0.6</v>
      </c>
      <c r="G338" s="43">
        <v>9.1</v>
      </c>
      <c r="H338" s="43">
        <v>3.1</v>
      </c>
      <c r="I338" s="43">
        <v>13.1</v>
      </c>
      <c r="J338" s="43">
        <v>2.7</v>
      </c>
      <c r="K338" s="43">
        <v>5</v>
      </c>
      <c r="L338" s="43">
        <v>10.6</v>
      </c>
    </row>
    <row r="339" spans="1:12" s="49" customFormat="1" ht="15" customHeight="1" x14ac:dyDescent="0.25">
      <c r="A339" s="41" t="s">
        <v>340</v>
      </c>
      <c r="B339" s="43">
        <v>60.7</v>
      </c>
      <c r="C339" s="43">
        <v>1.6</v>
      </c>
      <c r="D339" s="43">
        <v>10.4</v>
      </c>
      <c r="E339" s="43">
        <v>11.3</v>
      </c>
      <c r="F339" s="43">
        <v>0.6</v>
      </c>
      <c r="G339" s="43">
        <v>9.9</v>
      </c>
      <c r="H339" s="43">
        <v>2.6</v>
      </c>
      <c r="I339" s="43">
        <v>10.8</v>
      </c>
      <c r="J339" s="43">
        <v>2</v>
      </c>
      <c r="K339" s="43">
        <v>4.8</v>
      </c>
      <c r="L339" s="43">
        <v>10.7</v>
      </c>
    </row>
    <row r="340" spans="1:12" s="49" customFormat="1" ht="15" customHeight="1" x14ac:dyDescent="0.25">
      <c r="A340" s="41" t="s">
        <v>341</v>
      </c>
      <c r="B340" s="43">
        <v>57.4</v>
      </c>
      <c r="C340" s="43">
        <v>1.4</v>
      </c>
      <c r="D340" s="43">
        <v>8.8000000000000007</v>
      </c>
      <c r="E340" s="43">
        <v>9.6</v>
      </c>
      <c r="F340" s="43">
        <v>0.8</v>
      </c>
      <c r="G340" s="43">
        <v>9.4</v>
      </c>
      <c r="H340" s="43">
        <v>1.8</v>
      </c>
      <c r="I340" s="43">
        <v>14.8</v>
      </c>
      <c r="J340" s="43">
        <v>2.1</v>
      </c>
      <c r="K340" s="43">
        <v>3.5</v>
      </c>
      <c r="L340" s="43">
        <v>8.6999999999999993</v>
      </c>
    </row>
    <row r="341" spans="1:12" s="49" customFormat="1" ht="27.95" customHeight="1" x14ac:dyDescent="0.25">
      <c r="A341" s="41" t="s">
        <v>808</v>
      </c>
      <c r="B341" s="43">
        <v>67.599999999999994</v>
      </c>
      <c r="C341" s="43">
        <v>1.6</v>
      </c>
      <c r="D341" s="43">
        <v>11.1</v>
      </c>
      <c r="E341" s="43">
        <v>12</v>
      </c>
      <c r="F341" s="43">
        <v>0.7</v>
      </c>
      <c r="G341" s="43">
        <v>10.8</v>
      </c>
      <c r="H341" s="43">
        <v>2.2999999999999998</v>
      </c>
      <c r="I341" s="43">
        <v>14.1</v>
      </c>
      <c r="J341" s="43">
        <v>1.7</v>
      </c>
      <c r="K341" s="43">
        <v>5.9</v>
      </c>
      <c r="L341" s="43">
        <v>10.4</v>
      </c>
    </row>
    <row r="342" spans="1:12" s="49" customFormat="1" ht="45.95" customHeight="1" x14ac:dyDescent="0.25">
      <c r="A342" s="40" t="s">
        <v>343</v>
      </c>
      <c r="B342" s="46" t="s">
        <v>16</v>
      </c>
      <c r="C342" s="46" t="s">
        <v>16</v>
      </c>
      <c r="D342" s="46" t="s">
        <v>16</v>
      </c>
      <c r="E342" s="46" t="s">
        <v>16</v>
      </c>
      <c r="F342" s="46" t="s">
        <v>16</v>
      </c>
      <c r="G342" s="46" t="s">
        <v>16</v>
      </c>
      <c r="H342" s="46" t="s">
        <v>16</v>
      </c>
      <c r="I342" s="46" t="s">
        <v>16</v>
      </c>
      <c r="J342" s="46" t="s">
        <v>16</v>
      </c>
      <c r="K342" s="46" t="s">
        <v>16</v>
      </c>
      <c r="L342" s="46" t="s">
        <v>16</v>
      </c>
    </row>
    <row r="343" spans="1:12" s="49" customFormat="1" ht="15" customHeight="1" x14ac:dyDescent="0.25">
      <c r="A343" s="35" t="s">
        <v>274</v>
      </c>
      <c r="B343" s="43">
        <v>48.2</v>
      </c>
      <c r="C343" s="43">
        <v>1.8</v>
      </c>
      <c r="D343" s="43">
        <v>8</v>
      </c>
      <c r="E343" s="43">
        <v>8</v>
      </c>
      <c r="F343" s="43">
        <v>0.5</v>
      </c>
      <c r="G343" s="43">
        <v>8.1</v>
      </c>
      <c r="H343" s="43">
        <v>2.9</v>
      </c>
      <c r="I343" s="43">
        <v>8.5</v>
      </c>
      <c r="J343" s="43">
        <v>1.9</v>
      </c>
      <c r="K343" s="43">
        <v>4.9000000000000004</v>
      </c>
      <c r="L343" s="43">
        <v>8.4</v>
      </c>
    </row>
    <row r="344" spans="1:12" s="49" customFormat="1" ht="15" customHeight="1" x14ac:dyDescent="0.25">
      <c r="A344" s="35" t="s">
        <v>275</v>
      </c>
      <c r="B344" s="43">
        <v>49.2</v>
      </c>
      <c r="C344" s="43">
        <v>1.7</v>
      </c>
      <c r="D344" s="43">
        <v>8.3000000000000007</v>
      </c>
      <c r="E344" s="43">
        <v>8.1</v>
      </c>
      <c r="F344" s="43">
        <v>0.5</v>
      </c>
      <c r="G344" s="43">
        <v>8.1999999999999993</v>
      </c>
      <c r="H344" s="43">
        <v>3</v>
      </c>
      <c r="I344" s="43">
        <v>8.4</v>
      </c>
      <c r="J344" s="43">
        <v>1.9</v>
      </c>
      <c r="K344" s="43">
        <v>4.9000000000000004</v>
      </c>
      <c r="L344" s="43">
        <v>8.4</v>
      </c>
    </row>
    <row r="345" spans="1:12" s="49" customFormat="1" ht="15" customHeight="1" x14ac:dyDescent="0.25">
      <c r="A345" s="35" t="s">
        <v>344</v>
      </c>
      <c r="B345" s="43">
        <v>49.4</v>
      </c>
      <c r="C345" s="43">
        <v>1.7</v>
      </c>
      <c r="D345" s="43">
        <v>8.1999999999999993</v>
      </c>
      <c r="E345" s="43">
        <v>8.1</v>
      </c>
      <c r="F345" s="43">
        <v>0.5</v>
      </c>
      <c r="G345" s="43">
        <v>8.5</v>
      </c>
      <c r="H345" s="43">
        <v>3.5</v>
      </c>
      <c r="I345" s="43">
        <v>8.6</v>
      </c>
      <c r="J345" s="43">
        <v>2.1</v>
      </c>
      <c r="K345" s="43">
        <v>5</v>
      </c>
      <c r="L345" s="43">
        <v>8.9</v>
      </c>
    </row>
    <row r="346" spans="1:12" ht="33.950000000000003" customHeight="1" x14ac:dyDescent="0.25">
      <c r="A346" s="31" t="s">
        <v>345</v>
      </c>
      <c r="B346" s="33" t="s">
        <v>16</v>
      </c>
      <c r="C346" s="33" t="s">
        <v>16</v>
      </c>
      <c r="D346" s="33" t="s">
        <v>16</v>
      </c>
      <c r="E346" s="33" t="s">
        <v>16</v>
      </c>
      <c r="F346" s="33" t="s">
        <v>16</v>
      </c>
      <c r="G346" s="33" t="s">
        <v>16</v>
      </c>
      <c r="H346" s="33" t="s">
        <v>16</v>
      </c>
      <c r="I346" s="33" t="s">
        <v>16</v>
      </c>
      <c r="J346" s="33" t="s">
        <v>16</v>
      </c>
      <c r="K346" s="33" t="s">
        <v>16</v>
      </c>
      <c r="L346" s="33" t="s">
        <v>16</v>
      </c>
    </row>
    <row r="347" spans="1:12" ht="15" customHeight="1" x14ac:dyDescent="0.25">
      <c r="A347" s="35" t="s">
        <v>346</v>
      </c>
      <c r="B347" s="37">
        <v>4.5</v>
      </c>
      <c r="C347" s="37">
        <v>0.7</v>
      </c>
      <c r="D347" s="37">
        <v>1.1000000000000001</v>
      </c>
      <c r="E347" s="37">
        <v>0.4</v>
      </c>
      <c r="F347" s="37">
        <v>0.1</v>
      </c>
      <c r="G347" s="37">
        <v>1.2</v>
      </c>
      <c r="H347" s="37">
        <v>0.4</v>
      </c>
      <c r="I347" s="37">
        <v>0.4</v>
      </c>
      <c r="J347" s="37">
        <v>0.4</v>
      </c>
      <c r="K347" s="37">
        <v>0.7</v>
      </c>
      <c r="L347" s="37">
        <v>1.9</v>
      </c>
    </row>
    <row r="348" spans="1:12" ht="15" customHeight="1" x14ac:dyDescent="0.25">
      <c r="A348" s="35" t="s">
        <v>347</v>
      </c>
      <c r="B348" s="37">
        <v>16.2</v>
      </c>
      <c r="C348" s="37">
        <v>1.1000000000000001</v>
      </c>
      <c r="D348" s="37">
        <v>2.4</v>
      </c>
      <c r="E348" s="37">
        <v>2</v>
      </c>
      <c r="F348" s="37">
        <v>0.2</v>
      </c>
      <c r="G348" s="37">
        <v>3.4</v>
      </c>
      <c r="H348" s="37">
        <v>1.1000000000000001</v>
      </c>
      <c r="I348" s="37">
        <v>1.6</v>
      </c>
      <c r="J348" s="37">
        <v>1.1000000000000001</v>
      </c>
      <c r="K348" s="37">
        <v>2.1</v>
      </c>
      <c r="L348" s="37">
        <v>4.3</v>
      </c>
    </row>
    <row r="349" spans="1:12" ht="15" customHeight="1" x14ac:dyDescent="0.25">
      <c r="A349" s="35" t="s">
        <v>348</v>
      </c>
      <c r="B349" s="37">
        <v>28</v>
      </c>
      <c r="C349" s="37">
        <v>1.7</v>
      </c>
      <c r="D349" s="37">
        <v>4</v>
      </c>
      <c r="E349" s="37">
        <v>3.7</v>
      </c>
      <c r="F349" s="37">
        <v>0.3</v>
      </c>
      <c r="G349" s="37">
        <v>5.4</v>
      </c>
      <c r="H349" s="37">
        <v>3.1</v>
      </c>
      <c r="I349" s="37">
        <v>4.2</v>
      </c>
      <c r="J349" s="37">
        <v>1.6</v>
      </c>
      <c r="K349" s="37">
        <v>3.3</v>
      </c>
      <c r="L349" s="37">
        <v>6.4</v>
      </c>
    </row>
    <row r="350" spans="1:12" ht="15" customHeight="1" x14ac:dyDescent="0.25">
      <c r="A350" s="35" t="s">
        <v>349</v>
      </c>
      <c r="B350" s="37">
        <v>45.3</v>
      </c>
      <c r="C350" s="37">
        <v>1.8</v>
      </c>
      <c r="D350" s="37">
        <v>6</v>
      </c>
      <c r="E350" s="37">
        <v>6.3</v>
      </c>
      <c r="F350" s="37">
        <v>0.5</v>
      </c>
      <c r="G350" s="37">
        <v>7.4</v>
      </c>
      <c r="H350" s="37">
        <v>6.7</v>
      </c>
      <c r="I350" s="37">
        <v>11.5</v>
      </c>
      <c r="J350" s="37">
        <v>2.2000000000000002</v>
      </c>
      <c r="K350" s="37">
        <v>3.9</v>
      </c>
      <c r="L350" s="37">
        <v>7.7</v>
      </c>
    </row>
    <row r="351" spans="1:12" ht="15" customHeight="1" x14ac:dyDescent="0.25">
      <c r="A351" s="35" t="s">
        <v>350</v>
      </c>
      <c r="B351" s="37">
        <v>55.9</v>
      </c>
      <c r="C351" s="37">
        <v>1.9</v>
      </c>
      <c r="D351" s="37">
        <v>8.6</v>
      </c>
      <c r="E351" s="37">
        <v>8.8000000000000007</v>
      </c>
      <c r="F351" s="37">
        <v>0.8</v>
      </c>
      <c r="G351" s="37">
        <v>8.6999999999999993</v>
      </c>
      <c r="H351" s="37">
        <v>6.3</v>
      </c>
      <c r="I351" s="37">
        <v>9.5</v>
      </c>
      <c r="J351" s="37">
        <v>2.8</v>
      </c>
      <c r="K351" s="37">
        <v>5.6</v>
      </c>
      <c r="L351" s="37">
        <v>9.3000000000000007</v>
      </c>
    </row>
    <row r="352" spans="1:12" ht="15" customHeight="1" x14ac:dyDescent="0.25">
      <c r="A352" s="35" t="s">
        <v>351</v>
      </c>
      <c r="B352" s="37">
        <v>62.3</v>
      </c>
      <c r="C352" s="37">
        <v>1.7</v>
      </c>
      <c r="D352" s="37">
        <v>9.6999999999999993</v>
      </c>
      <c r="E352" s="37">
        <v>10.8</v>
      </c>
      <c r="F352" s="37">
        <v>0.5</v>
      </c>
      <c r="G352" s="37">
        <v>10.8</v>
      </c>
      <c r="H352" s="37">
        <v>2.7</v>
      </c>
      <c r="I352" s="37">
        <v>12.2</v>
      </c>
      <c r="J352" s="37">
        <v>2.1</v>
      </c>
      <c r="K352" s="37">
        <v>5.2</v>
      </c>
      <c r="L352" s="37">
        <v>10.4</v>
      </c>
    </row>
    <row r="353" spans="1:12" ht="15" customHeight="1" x14ac:dyDescent="0.25">
      <c r="A353" s="35" t="s">
        <v>352</v>
      </c>
      <c r="B353" s="37">
        <v>88.5</v>
      </c>
      <c r="C353" s="37">
        <v>2</v>
      </c>
      <c r="D353" s="37">
        <v>18.7</v>
      </c>
      <c r="E353" s="37">
        <v>15.5</v>
      </c>
      <c r="F353" s="37">
        <v>0.7</v>
      </c>
      <c r="G353" s="37">
        <v>15.2</v>
      </c>
      <c r="H353" s="37">
        <v>2.5</v>
      </c>
      <c r="I353" s="37">
        <v>8.3000000000000007</v>
      </c>
      <c r="J353" s="37">
        <v>2.9</v>
      </c>
      <c r="K353" s="37">
        <v>10.7</v>
      </c>
      <c r="L353" s="37">
        <v>16.7</v>
      </c>
    </row>
    <row r="354" spans="1:12" ht="15" customHeight="1" thickBot="1" x14ac:dyDescent="0.3">
      <c r="A354" s="85"/>
      <c r="B354" s="264"/>
      <c r="C354" s="263"/>
      <c r="D354" s="263"/>
      <c r="E354" s="263"/>
      <c r="F354" s="263"/>
      <c r="G354" s="263"/>
      <c r="H354" s="87"/>
      <c r="I354" s="263"/>
      <c r="J354" s="263"/>
      <c r="K354" s="263"/>
      <c r="L354" s="263"/>
    </row>
    <row r="355" spans="1:12" ht="234" customHeight="1" x14ac:dyDescent="0.25">
      <c r="A355" s="630" t="s">
        <v>809</v>
      </c>
      <c r="B355" s="630"/>
      <c r="C355" s="630"/>
      <c r="D355" s="630"/>
      <c r="E355" s="630"/>
      <c r="F355" s="630"/>
      <c r="G355" s="630"/>
      <c r="H355" s="630"/>
      <c r="I355" s="652"/>
      <c r="J355" s="652"/>
      <c r="K355" s="652"/>
      <c r="L355" s="652"/>
    </row>
  </sheetData>
  <mergeCells count="3">
    <mergeCell ref="A2:G2"/>
    <mergeCell ref="B3:L3"/>
    <mergeCell ref="A355:L355"/>
  </mergeCells>
  <pageMargins left="0.7" right="0.7" top="0.6" bottom="0.6" header="0.3" footer="0.3"/>
  <pageSetup scale="43" fitToHeight="0" orientation="portrait" r:id="rId1"/>
  <rowBreaks count="6" manualBreakCount="6">
    <brk id="44" max="16383" man="1"/>
    <brk id="85" max="16383" man="1"/>
    <brk id="248" max="16383" man="1"/>
    <brk id="284" max="16383" man="1"/>
    <brk id="325" max="11" man="1"/>
    <brk id="3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24D7C-851B-4AC5-9C42-8EBC476FED70}">
  <sheetPr>
    <pageSetUpPr fitToPage="1"/>
  </sheetPr>
  <dimension ref="A1:R265"/>
  <sheetViews>
    <sheetView workbookViewId="0"/>
  </sheetViews>
  <sheetFormatPr defaultRowHeight="15" x14ac:dyDescent="0.25"/>
  <cols>
    <col min="1" max="1" width="28.7109375" customWidth="1"/>
    <col min="2" max="2" width="7.28515625" style="15" customWidth="1"/>
    <col min="3" max="4" width="7.28515625" customWidth="1"/>
    <col min="5" max="5" width="7.28515625" style="15" customWidth="1"/>
    <col min="6" max="6" width="7.28515625" style="24" customWidth="1"/>
    <col min="7" max="7" width="7.28515625" style="15" customWidth="1"/>
    <col min="8" max="9" width="7.28515625" customWidth="1"/>
    <col min="10" max="10" width="7.28515625" style="15" customWidth="1"/>
    <col min="11" max="11" width="7.28515625" style="24" customWidth="1"/>
    <col min="12" max="12" width="11" bestFit="1" customWidth="1"/>
    <col min="18" max="18" width="32.85546875" bestFit="1" customWidth="1"/>
  </cols>
  <sheetData>
    <row r="1" spans="1:18" x14ac:dyDescent="0.25">
      <c r="A1" s="23" t="s">
        <v>87</v>
      </c>
      <c r="B1" s="264"/>
      <c r="C1" s="263"/>
      <c r="D1" s="263"/>
      <c r="E1" s="264"/>
      <c r="G1" s="264"/>
      <c r="H1" s="263"/>
      <c r="I1" s="263"/>
      <c r="J1" s="264"/>
      <c r="L1" s="263"/>
      <c r="M1" s="263"/>
      <c r="N1" s="263"/>
      <c r="O1" s="263"/>
      <c r="P1" s="263"/>
      <c r="Q1" s="263"/>
      <c r="R1" s="263"/>
    </row>
    <row r="2" spans="1:18" ht="33.75" customHeight="1" x14ac:dyDescent="0.25">
      <c r="A2" s="89" t="s">
        <v>810</v>
      </c>
      <c r="B2" s="391"/>
      <c r="C2" s="391"/>
      <c r="D2" s="391"/>
      <c r="E2" s="391"/>
      <c r="F2" s="391"/>
      <c r="G2" s="391"/>
      <c r="H2" s="391"/>
      <c r="I2" s="391"/>
      <c r="J2" s="391"/>
      <c r="K2" s="391"/>
      <c r="L2" s="263"/>
      <c r="M2" s="263"/>
      <c r="N2" s="263"/>
      <c r="O2" s="263"/>
      <c r="P2" s="263"/>
      <c r="Q2" s="263"/>
      <c r="R2" s="263"/>
    </row>
    <row r="3" spans="1:18" ht="45.75" customHeight="1" x14ac:dyDescent="0.25">
      <c r="A3" s="390"/>
      <c r="B3" s="653" t="s">
        <v>811</v>
      </c>
      <c r="C3" s="651"/>
      <c r="D3" s="651"/>
      <c r="E3" s="651"/>
      <c r="F3" s="651"/>
      <c r="G3" s="650" t="s">
        <v>812</v>
      </c>
      <c r="H3" s="651"/>
      <c r="I3" s="651"/>
      <c r="J3" s="651"/>
      <c r="K3" s="651"/>
      <c r="L3" s="263"/>
      <c r="M3" s="263"/>
      <c r="N3" s="263"/>
      <c r="O3" s="263"/>
      <c r="P3" s="263"/>
      <c r="Q3" s="263"/>
      <c r="R3" s="263"/>
    </row>
    <row r="4" spans="1:18" ht="46.5" customHeight="1" thickBot="1" x14ac:dyDescent="0.3">
      <c r="A4" s="86"/>
      <c r="B4" s="58" t="s">
        <v>784</v>
      </c>
      <c r="C4" s="58" t="s">
        <v>813</v>
      </c>
      <c r="D4" s="58" t="s">
        <v>814</v>
      </c>
      <c r="E4" s="58" t="s">
        <v>512</v>
      </c>
      <c r="F4" s="58" t="s">
        <v>173</v>
      </c>
      <c r="G4" s="58" t="s">
        <v>784</v>
      </c>
      <c r="H4" s="58" t="s">
        <v>813</v>
      </c>
      <c r="I4" s="58" t="s">
        <v>814</v>
      </c>
      <c r="J4" s="58" t="s">
        <v>512</v>
      </c>
      <c r="K4" s="58" t="s">
        <v>173</v>
      </c>
      <c r="L4" s="263"/>
      <c r="M4" s="263"/>
      <c r="N4" s="263"/>
      <c r="O4" s="263"/>
      <c r="P4" s="263"/>
      <c r="Q4" s="263"/>
      <c r="R4" s="263"/>
    </row>
    <row r="5" spans="1:18" ht="24" customHeight="1" thickTop="1" x14ac:dyDescent="0.25">
      <c r="A5" s="27" t="s">
        <v>14</v>
      </c>
      <c r="B5" s="88">
        <v>38.299999999999997</v>
      </c>
      <c r="C5" s="88">
        <v>27.1</v>
      </c>
      <c r="D5" s="88">
        <v>10.7</v>
      </c>
      <c r="E5" s="88">
        <v>15.9</v>
      </c>
      <c r="F5" s="88">
        <v>10</v>
      </c>
      <c r="G5" s="60">
        <v>2248</v>
      </c>
      <c r="H5" s="60">
        <v>1339</v>
      </c>
      <c r="I5" s="60">
        <v>424</v>
      </c>
      <c r="J5" s="60">
        <v>394</v>
      </c>
      <c r="K5" s="60">
        <v>91</v>
      </c>
      <c r="L5" s="263"/>
      <c r="M5" s="263"/>
      <c r="N5" s="263"/>
      <c r="O5" s="263"/>
      <c r="P5" s="263"/>
      <c r="Q5" s="263"/>
      <c r="R5" s="263"/>
    </row>
    <row r="6" spans="1:18" ht="24" customHeight="1" x14ac:dyDescent="0.25">
      <c r="A6" s="31" t="s">
        <v>101</v>
      </c>
      <c r="B6" s="34" t="s">
        <v>16</v>
      </c>
      <c r="C6" s="34" t="s">
        <v>16</v>
      </c>
      <c r="D6" s="34" t="s">
        <v>16</v>
      </c>
      <c r="E6" s="34" t="s">
        <v>16</v>
      </c>
      <c r="F6" s="34" t="s">
        <v>16</v>
      </c>
      <c r="G6" s="32" t="s">
        <v>16</v>
      </c>
      <c r="H6" s="32" t="s">
        <v>16</v>
      </c>
      <c r="I6" s="32" t="s">
        <v>16</v>
      </c>
      <c r="J6" s="32" t="s">
        <v>16</v>
      </c>
      <c r="K6" s="32" t="s">
        <v>16</v>
      </c>
      <c r="L6" s="263"/>
      <c r="M6" s="263"/>
      <c r="N6" s="263"/>
      <c r="O6" s="263"/>
      <c r="P6" s="263"/>
      <c r="Q6" s="263"/>
      <c r="R6" s="263"/>
    </row>
    <row r="7" spans="1:18" ht="15" customHeight="1" x14ac:dyDescent="0.25">
      <c r="A7" s="35" t="s">
        <v>102</v>
      </c>
      <c r="B7" s="38">
        <v>68</v>
      </c>
      <c r="C7" s="38">
        <v>36.9</v>
      </c>
      <c r="D7" s="38">
        <v>25.5</v>
      </c>
      <c r="E7" s="38">
        <v>94.7</v>
      </c>
      <c r="F7" s="38" t="s">
        <v>28</v>
      </c>
      <c r="G7" s="36">
        <v>256</v>
      </c>
      <c r="H7" s="36">
        <v>122</v>
      </c>
      <c r="I7" s="36">
        <v>53</v>
      </c>
      <c r="J7" s="36">
        <v>78</v>
      </c>
      <c r="K7" s="36" t="s">
        <v>28</v>
      </c>
      <c r="L7" s="263"/>
      <c r="M7" s="263"/>
      <c r="N7" s="263"/>
      <c r="O7" s="263"/>
      <c r="P7" s="263"/>
      <c r="Q7" s="263"/>
      <c r="R7" s="263"/>
    </row>
    <row r="8" spans="1:18" ht="15" customHeight="1" x14ac:dyDescent="0.25">
      <c r="A8" s="35" t="s">
        <v>103</v>
      </c>
      <c r="B8" s="38">
        <v>51.4</v>
      </c>
      <c r="C8" s="38">
        <v>31.8</v>
      </c>
      <c r="D8" s="38">
        <v>14</v>
      </c>
      <c r="E8" s="38">
        <v>52.6</v>
      </c>
      <c r="F8" s="38">
        <v>16.899999999999999</v>
      </c>
      <c r="G8" s="36">
        <v>248</v>
      </c>
      <c r="H8" s="36">
        <v>138</v>
      </c>
      <c r="I8" s="36">
        <v>39</v>
      </c>
      <c r="J8" s="36">
        <v>66</v>
      </c>
      <c r="K8" s="36">
        <v>4</v>
      </c>
      <c r="L8" s="263"/>
      <c r="M8" s="263"/>
      <c r="N8" s="263"/>
      <c r="O8" s="263"/>
      <c r="P8" s="263"/>
      <c r="Q8" s="263"/>
      <c r="R8" s="263"/>
    </row>
    <row r="9" spans="1:18" ht="15" customHeight="1" x14ac:dyDescent="0.25">
      <c r="A9" s="35" t="s">
        <v>104</v>
      </c>
      <c r="B9" s="38">
        <v>34.5</v>
      </c>
      <c r="C9" s="38">
        <v>25.3</v>
      </c>
      <c r="D9" s="38">
        <v>9.1</v>
      </c>
      <c r="E9" s="38">
        <v>22</v>
      </c>
      <c r="F9" s="38">
        <v>5.6</v>
      </c>
      <c r="G9" s="36">
        <v>304</v>
      </c>
      <c r="H9" s="36">
        <v>203</v>
      </c>
      <c r="I9" s="36">
        <v>52</v>
      </c>
      <c r="J9" s="36">
        <v>47</v>
      </c>
      <c r="K9" s="36">
        <v>3</v>
      </c>
      <c r="L9" s="263"/>
      <c r="M9" s="263"/>
      <c r="N9" s="263"/>
      <c r="O9" s="263"/>
      <c r="P9" s="263"/>
      <c r="Q9" s="263"/>
      <c r="R9" s="263"/>
    </row>
    <row r="10" spans="1:18" ht="15" customHeight="1" x14ac:dyDescent="0.25">
      <c r="A10" s="35" t="s">
        <v>105</v>
      </c>
      <c r="B10" s="38">
        <v>34.799999999999997</v>
      </c>
      <c r="C10" s="38">
        <v>26.5</v>
      </c>
      <c r="D10" s="38">
        <v>9.6999999999999993</v>
      </c>
      <c r="E10" s="38">
        <v>12.5</v>
      </c>
      <c r="F10" s="38">
        <v>9.5</v>
      </c>
      <c r="G10" s="36">
        <v>284</v>
      </c>
      <c r="H10" s="36">
        <v>192</v>
      </c>
      <c r="I10" s="36">
        <v>55</v>
      </c>
      <c r="J10" s="36">
        <v>28</v>
      </c>
      <c r="K10" s="36">
        <v>9</v>
      </c>
      <c r="L10" s="263"/>
      <c r="M10" s="263"/>
      <c r="N10" s="263"/>
      <c r="O10" s="263"/>
      <c r="P10" s="263"/>
      <c r="Q10" s="263"/>
      <c r="R10" s="263"/>
    </row>
    <row r="11" spans="1:18" ht="15" customHeight="1" x14ac:dyDescent="0.25">
      <c r="A11" s="35" t="s">
        <v>106</v>
      </c>
      <c r="B11" s="38">
        <v>34</v>
      </c>
      <c r="C11" s="38">
        <v>25.3</v>
      </c>
      <c r="D11" s="38">
        <v>9.5</v>
      </c>
      <c r="E11" s="38">
        <v>7</v>
      </c>
      <c r="F11" s="38">
        <v>12</v>
      </c>
      <c r="G11" s="36">
        <v>338</v>
      </c>
      <c r="H11" s="36">
        <v>215</v>
      </c>
      <c r="I11" s="36">
        <v>71</v>
      </c>
      <c r="J11" s="36">
        <v>32</v>
      </c>
      <c r="K11" s="36">
        <v>19</v>
      </c>
      <c r="L11" s="263"/>
      <c r="M11" s="263"/>
      <c r="N11" s="263"/>
      <c r="O11" s="263"/>
      <c r="P11" s="263"/>
      <c r="Q11" s="263"/>
      <c r="R11" s="263"/>
    </row>
    <row r="12" spans="1:18" ht="15" customHeight="1" x14ac:dyDescent="0.25">
      <c r="A12" s="35" t="s">
        <v>107</v>
      </c>
      <c r="B12" s="38">
        <v>30.8</v>
      </c>
      <c r="C12" s="38">
        <v>21.8</v>
      </c>
      <c r="D12" s="38">
        <v>9</v>
      </c>
      <c r="E12" s="38">
        <v>8.3000000000000007</v>
      </c>
      <c r="F12" s="38">
        <v>10.5</v>
      </c>
      <c r="G12" s="36">
        <v>290</v>
      </c>
      <c r="H12" s="36">
        <v>164</v>
      </c>
      <c r="I12" s="36">
        <v>62</v>
      </c>
      <c r="J12" s="36">
        <v>39</v>
      </c>
      <c r="K12" s="36">
        <v>26</v>
      </c>
      <c r="L12" s="263"/>
      <c r="M12" s="263"/>
      <c r="N12" s="263"/>
      <c r="O12" s="263"/>
      <c r="P12" s="263"/>
      <c r="Q12" s="263"/>
      <c r="R12" s="263"/>
    </row>
    <row r="13" spans="1:18" ht="15" customHeight="1" x14ac:dyDescent="0.25">
      <c r="A13" s="35" t="s">
        <v>108</v>
      </c>
      <c r="B13" s="38">
        <v>37.299999999999997</v>
      </c>
      <c r="C13" s="38">
        <v>27.7</v>
      </c>
      <c r="D13" s="38">
        <v>9.1</v>
      </c>
      <c r="E13" s="38">
        <v>9.1999999999999993</v>
      </c>
      <c r="F13" s="38">
        <v>7.1</v>
      </c>
      <c r="G13" s="36">
        <v>310</v>
      </c>
      <c r="H13" s="36">
        <v>194</v>
      </c>
      <c r="I13" s="36">
        <v>54</v>
      </c>
      <c r="J13" s="36">
        <v>48</v>
      </c>
      <c r="K13" s="36">
        <v>14</v>
      </c>
      <c r="L13" s="263"/>
      <c r="M13" s="263"/>
      <c r="N13" s="263"/>
      <c r="O13" s="263"/>
      <c r="P13" s="263"/>
      <c r="Q13" s="263"/>
      <c r="R13" s="263"/>
    </row>
    <row r="14" spans="1:18" ht="15" customHeight="1" x14ac:dyDescent="0.25">
      <c r="A14" s="35" t="s">
        <v>109</v>
      </c>
      <c r="B14" s="38">
        <v>39.6</v>
      </c>
      <c r="C14" s="38">
        <v>31</v>
      </c>
      <c r="D14" s="38">
        <v>12.5</v>
      </c>
      <c r="E14" s="38" t="s">
        <v>28</v>
      </c>
      <c r="F14" s="38">
        <v>11.2</v>
      </c>
      <c r="G14" s="36">
        <v>219</v>
      </c>
      <c r="H14" s="36">
        <v>112</v>
      </c>
      <c r="I14" s="36">
        <v>37</v>
      </c>
      <c r="J14" s="36" t="s">
        <v>28</v>
      </c>
      <c r="K14" s="36">
        <v>13</v>
      </c>
      <c r="L14" s="263"/>
      <c r="M14" s="263"/>
      <c r="N14" s="263"/>
      <c r="O14" s="263"/>
      <c r="P14" s="263"/>
      <c r="Q14" s="263"/>
      <c r="R14" s="263"/>
    </row>
    <row r="15" spans="1:18" ht="24" customHeight="1" x14ac:dyDescent="0.25">
      <c r="A15" s="31" t="s">
        <v>110</v>
      </c>
      <c r="B15" s="34" t="s">
        <v>16</v>
      </c>
      <c r="C15" s="34" t="s">
        <v>16</v>
      </c>
      <c r="D15" s="34" t="s">
        <v>16</v>
      </c>
      <c r="E15" s="34" t="s">
        <v>16</v>
      </c>
      <c r="F15" s="34" t="s">
        <v>16</v>
      </c>
      <c r="G15" s="32" t="s">
        <v>16</v>
      </c>
      <c r="H15" s="32" t="s">
        <v>16</v>
      </c>
      <c r="I15" s="32" t="s">
        <v>16</v>
      </c>
      <c r="J15" s="32" t="s">
        <v>16</v>
      </c>
      <c r="K15" s="32" t="s">
        <v>16</v>
      </c>
      <c r="L15" s="263"/>
      <c r="M15" s="263"/>
      <c r="N15" s="263"/>
      <c r="O15" s="263"/>
      <c r="P15" s="263"/>
      <c r="Q15" s="263"/>
      <c r="R15" s="263"/>
    </row>
    <row r="16" spans="1:18" ht="15" customHeight="1" x14ac:dyDescent="0.25">
      <c r="A16" s="35" t="s">
        <v>111</v>
      </c>
      <c r="B16" s="38">
        <v>30.6</v>
      </c>
      <c r="C16" s="38">
        <v>26.7</v>
      </c>
      <c r="D16" s="38">
        <v>7</v>
      </c>
      <c r="E16" s="38">
        <v>1.8</v>
      </c>
      <c r="F16" s="38">
        <v>5.6</v>
      </c>
      <c r="G16" s="36">
        <v>291</v>
      </c>
      <c r="H16" s="36">
        <v>212</v>
      </c>
      <c r="I16" s="36">
        <v>54</v>
      </c>
      <c r="J16" s="36">
        <v>10</v>
      </c>
      <c r="K16" s="36">
        <v>14</v>
      </c>
      <c r="L16" s="90"/>
      <c r="M16" s="90"/>
      <c r="N16" s="90"/>
      <c r="O16" s="90"/>
      <c r="P16" s="90"/>
      <c r="Q16" s="263"/>
      <c r="R16" s="90"/>
    </row>
    <row r="17" spans="1:18" x14ac:dyDescent="0.25">
      <c r="A17" s="35" t="s">
        <v>24</v>
      </c>
      <c r="B17" s="38">
        <v>62.8</v>
      </c>
      <c r="C17" s="38">
        <v>43.3</v>
      </c>
      <c r="D17" s="38">
        <v>4.4000000000000004</v>
      </c>
      <c r="E17" s="38">
        <v>32.799999999999997</v>
      </c>
      <c r="F17" s="38" t="s">
        <v>28</v>
      </c>
      <c r="G17" s="36">
        <v>53</v>
      </c>
      <c r="H17" s="36">
        <v>29</v>
      </c>
      <c r="I17" s="36">
        <v>3</v>
      </c>
      <c r="J17" s="36">
        <v>19</v>
      </c>
      <c r="K17" s="36" t="s">
        <v>28</v>
      </c>
      <c r="L17" s="90"/>
      <c r="M17" s="90"/>
      <c r="N17" s="90"/>
      <c r="O17" s="90"/>
      <c r="P17" s="90"/>
      <c r="Q17" s="263"/>
      <c r="R17" s="90"/>
    </row>
    <row r="18" spans="1:18" x14ac:dyDescent="0.25">
      <c r="A18" s="35" t="s">
        <v>29</v>
      </c>
      <c r="B18" s="38">
        <v>163.19999999999999</v>
      </c>
      <c r="C18" s="38">
        <v>34</v>
      </c>
      <c r="D18" s="38">
        <v>39.200000000000003</v>
      </c>
      <c r="E18" s="38">
        <v>120.5</v>
      </c>
      <c r="F18" s="38" t="s">
        <v>28</v>
      </c>
      <c r="G18" s="36">
        <v>227</v>
      </c>
      <c r="H18" s="36">
        <v>35</v>
      </c>
      <c r="I18" s="36">
        <v>40</v>
      </c>
      <c r="J18" s="36">
        <v>152</v>
      </c>
      <c r="K18" s="36" t="s">
        <v>28</v>
      </c>
      <c r="L18" s="90"/>
      <c r="M18" s="90"/>
      <c r="N18" s="90"/>
      <c r="O18" s="90"/>
      <c r="P18" s="90"/>
      <c r="Q18" s="263"/>
      <c r="R18" s="90"/>
    </row>
    <row r="19" spans="1:18" x14ac:dyDescent="0.25">
      <c r="A19" s="35" t="s">
        <v>34</v>
      </c>
      <c r="B19" s="38">
        <v>80.5</v>
      </c>
      <c r="C19" s="38">
        <v>60.9</v>
      </c>
      <c r="D19" s="38">
        <v>23.7</v>
      </c>
      <c r="E19" s="38">
        <v>16.3</v>
      </c>
      <c r="F19" s="38">
        <v>18.7</v>
      </c>
      <c r="G19" s="36">
        <v>265</v>
      </c>
      <c r="H19" s="36">
        <v>159</v>
      </c>
      <c r="I19" s="36">
        <v>61</v>
      </c>
      <c r="J19" s="36">
        <v>32</v>
      </c>
      <c r="K19" s="36">
        <v>12</v>
      </c>
      <c r="L19" s="90"/>
      <c r="M19" s="90"/>
      <c r="N19" s="90"/>
      <c r="O19" s="90"/>
      <c r="P19" s="90"/>
      <c r="Q19" s="263"/>
      <c r="R19" s="90"/>
    </row>
    <row r="20" spans="1:18" x14ac:dyDescent="0.25">
      <c r="A20" s="39" t="s">
        <v>815</v>
      </c>
      <c r="B20" s="38">
        <v>103.6</v>
      </c>
      <c r="C20" s="38">
        <v>74.2</v>
      </c>
      <c r="D20" s="38">
        <v>34.299999999999997</v>
      </c>
      <c r="E20" s="38">
        <v>16.600000000000001</v>
      </c>
      <c r="F20" s="38">
        <v>25</v>
      </c>
      <c r="G20" s="36">
        <v>219</v>
      </c>
      <c r="H20" s="36">
        <v>121</v>
      </c>
      <c r="I20" s="36">
        <v>58</v>
      </c>
      <c r="J20" s="36">
        <v>30</v>
      </c>
      <c r="K20" s="36">
        <v>10</v>
      </c>
      <c r="L20" s="90"/>
      <c r="M20" s="90"/>
      <c r="N20" s="90"/>
      <c r="O20" s="90"/>
      <c r="P20" s="90"/>
      <c r="Q20" s="263"/>
      <c r="R20" s="90"/>
    </row>
    <row r="21" spans="1:18" x14ac:dyDescent="0.25">
      <c r="A21" s="39" t="s">
        <v>816</v>
      </c>
      <c r="B21" s="38">
        <v>39</v>
      </c>
      <c r="C21" s="38">
        <v>39.1</v>
      </c>
      <c r="D21" s="38">
        <v>3.9</v>
      </c>
      <c r="E21" s="38" t="s">
        <v>28</v>
      </c>
      <c r="F21" s="38" t="s">
        <v>28</v>
      </c>
      <c r="G21" s="36">
        <v>46</v>
      </c>
      <c r="H21" s="36">
        <v>39</v>
      </c>
      <c r="I21" s="36">
        <v>4</v>
      </c>
      <c r="J21" s="36" t="s">
        <v>28</v>
      </c>
      <c r="K21" s="36" t="s">
        <v>28</v>
      </c>
      <c r="L21" s="90"/>
      <c r="M21" s="90"/>
      <c r="N21" s="90"/>
      <c r="O21" s="90"/>
      <c r="P21" s="90"/>
      <c r="Q21" s="263"/>
      <c r="R21" s="90"/>
    </row>
    <row r="22" spans="1:18" x14ac:dyDescent="0.25">
      <c r="A22" s="35"/>
      <c r="B22" s="38">
        <v>44.9</v>
      </c>
      <c r="C22" s="38">
        <v>14.5</v>
      </c>
      <c r="D22" s="38">
        <v>26.5</v>
      </c>
      <c r="E22" s="38" t="s">
        <v>28</v>
      </c>
      <c r="F22" s="38">
        <v>6.6</v>
      </c>
      <c r="G22" s="36">
        <v>221</v>
      </c>
      <c r="H22" s="36">
        <v>46</v>
      </c>
      <c r="I22" s="36">
        <v>113</v>
      </c>
      <c r="J22" s="36" t="s">
        <v>28</v>
      </c>
      <c r="K22" s="36">
        <v>6</v>
      </c>
      <c r="L22" s="90"/>
      <c r="M22" s="90"/>
      <c r="N22" s="90"/>
      <c r="O22" s="90"/>
      <c r="P22" s="90"/>
      <c r="Q22" s="263"/>
      <c r="R22" s="90"/>
    </row>
    <row r="23" spans="1:18" x14ac:dyDescent="0.25">
      <c r="A23" s="35" t="s">
        <v>45</v>
      </c>
      <c r="B23" s="38">
        <v>34.299999999999997</v>
      </c>
      <c r="C23" s="38">
        <v>21.5</v>
      </c>
      <c r="D23" s="38">
        <v>10.6</v>
      </c>
      <c r="E23" s="38">
        <v>13.5</v>
      </c>
      <c r="F23" s="38">
        <v>6</v>
      </c>
      <c r="G23" s="36">
        <v>291</v>
      </c>
      <c r="H23" s="36">
        <v>159</v>
      </c>
      <c r="I23" s="36">
        <v>58</v>
      </c>
      <c r="J23" s="36">
        <v>66</v>
      </c>
      <c r="K23" s="36">
        <v>8</v>
      </c>
      <c r="L23" s="90"/>
      <c r="M23" s="90"/>
      <c r="N23" s="90"/>
      <c r="O23" s="90"/>
      <c r="P23" s="90"/>
      <c r="Q23" s="263"/>
      <c r="R23" s="90"/>
    </row>
    <row r="24" spans="1:18" ht="15" customHeight="1" x14ac:dyDescent="0.25">
      <c r="A24" s="39" t="s">
        <v>817</v>
      </c>
      <c r="B24" s="38">
        <v>22</v>
      </c>
      <c r="C24" s="38">
        <v>20.5</v>
      </c>
      <c r="D24" s="38">
        <v>2.5</v>
      </c>
      <c r="E24" s="38">
        <v>6</v>
      </c>
      <c r="F24" s="38" t="s">
        <v>28</v>
      </c>
      <c r="G24" s="36">
        <v>74</v>
      </c>
      <c r="H24" s="36">
        <v>63</v>
      </c>
      <c r="I24" s="36">
        <v>4</v>
      </c>
      <c r="J24" s="36">
        <v>6</v>
      </c>
      <c r="K24" s="36" t="s">
        <v>28</v>
      </c>
      <c r="L24" s="90"/>
      <c r="M24" s="90"/>
      <c r="N24" s="90"/>
      <c r="O24" s="90"/>
      <c r="P24" s="90"/>
      <c r="Q24" s="263"/>
      <c r="R24" s="90"/>
    </row>
    <row r="25" spans="1:18" ht="15" customHeight="1" x14ac:dyDescent="0.25">
      <c r="A25" s="39" t="s">
        <v>818</v>
      </c>
      <c r="B25" s="38">
        <v>42.4</v>
      </c>
      <c r="C25" s="38">
        <v>22.1</v>
      </c>
      <c r="D25" s="38">
        <v>14.1</v>
      </c>
      <c r="E25" s="38">
        <v>15.4</v>
      </c>
      <c r="F25" s="38">
        <v>6.9</v>
      </c>
      <c r="G25" s="36">
        <v>217</v>
      </c>
      <c r="H25" s="36">
        <v>97</v>
      </c>
      <c r="I25" s="36">
        <v>54</v>
      </c>
      <c r="J25" s="36">
        <v>60</v>
      </c>
      <c r="K25" s="36">
        <v>6</v>
      </c>
      <c r="L25" s="90"/>
      <c r="M25" s="90"/>
      <c r="N25" s="90"/>
      <c r="O25" s="90"/>
      <c r="P25" s="90"/>
      <c r="Q25" s="263"/>
      <c r="R25" s="90"/>
    </row>
    <row r="26" spans="1:18" ht="15" customHeight="1" x14ac:dyDescent="0.25">
      <c r="A26" s="35" t="s">
        <v>53</v>
      </c>
      <c r="B26" s="38">
        <v>27.4</v>
      </c>
      <c r="C26" s="38">
        <v>25.7</v>
      </c>
      <c r="D26" s="38">
        <v>4.8</v>
      </c>
      <c r="E26" s="38" t="s">
        <v>28</v>
      </c>
      <c r="F26" s="38">
        <v>9.4</v>
      </c>
      <c r="G26" s="36">
        <v>282</v>
      </c>
      <c r="H26" s="36">
        <v>220</v>
      </c>
      <c r="I26" s="36">
        <v>29</v>
      </c>
      <c r="J26" s="36" t="s">
        <v>28</v>
      </c>
      <c r="K26" s="36">
        <v>13</v>
      </c>
      <c r="L26" s="90"/>
      <c r="M26" s="90"/>
      <c r="N26" s="90"/>
      <c r="O26" s="90"/>
      <c r="P26" s="90"/>
      <c r="Q26" s="263"/>
      <c r="R26" s="90"/>
    </row>
    <row r="27" spans="1:18" ht="15" customHeight="1" x14ac:dyDescent="0.25">
      <c r="A27" s="35" t="s">
        <v>60</v>
      </c>
      <c r="B27" s="38">
        <v>34.799999999999997</v>
      </c>
      <c r="C27" s="38">
        <v>35.299999999999997</v>
      </c>
      <c r="D27" s="38">
        <v>2.1</v>
      </c>
      <c r="E27" s="38">
        <v>6.4</v>
      </c>
      <c r="F27" s="38">
        <v>4.7</v>
      </c>
      <c r="G27" s="36">
        <v>135</v>
      </c>
      <c r="H27" s="36">
        <v>118</v>
      </c>
      <c r="I27" s="36">
        <v>6</v>
      </c>
      <c r="J27" s="36">
        <v>9</v>
      </c>
      <c r="K27" s="36">
        <v>2</v>
      </c>
      <c r="L27" s="90"/>
      <c r="M27" s="90"/>
      <c r="N27" s="90"/>
      <c r="O27" s="90"/>
      <c r="P27" s="90"/>
      <c r="Q27" s="263"/>
      <c r="R27" s="90"/>
    </row>
    <row r="28" spans="1:18" ht="15" customHeight="1" x14ac:dyDescent="0.25">
      <c r="A28" s="35" t="s">
        <v>66</v>
      </c>
      <c r="B28" s="38">
        <v>40.4</v>
      </c>
      <c r="C28" s="38">
        <v>25.8</v>
      </c>
      <c r="D28" s="38">
        <v>21.4</v>
      </c>
      <c r="E28" s="38">
        <v>3.5</v>
      </c>
      <c r="F28" s="38" t="s">
        <v>28</v>
      </c>
      <c r="G28" s="36">
        <v>41</v>
      </c>
      <c r="H28" s="36">
        <v>22</v>
      </c>
      <c r="I28" s="36">
        <v>16</v>
      </c>
      <c r="J28" s="36">
        <v>2</v>
      </c>
      <c r="K28" s="36" t="s">
        <v>28</v>
      </c>
      <c r="L28" s="90"/>
      <c r="M28" s="90"/>
      <c r="N28" s="90"/>
      <c r="O28" s="90"/>
      <c r="P28" s="90"/>
      <c r="Q28" s="263"/>
      <c r="R28" s="90"/>
    </row>
    <row r="29" spans="1:18" ht="15" customHeight="1" x14ac:dyDescent="0.25">
      <c r="A29" s="35" t="s">
        <v>70</v>
      </c>
      <c r="B29" s="38">
        <v>28.8</v>
      </c>
      <c r="C29" s="38">
        <v>25</v>
      </c>
      <c r="D29" s="38" t="s">
        <v>28</v>
      </c>
      <c r="E29" s="38">
        <v>5.6</v>
      </c>
      <c r="F29" s="38" t="s">
        <v>28</v>
      </c>
      <c r="G29" s="36">
        <v>87</v>
      </c>
      <c r="H29" s="36">
        <v>67</v>
      </c>
      <c r="I29" s="36" t="s">
        <v>28</v>
      </c>
      <c r="J29" s="36">
        <v>10</v>
      </c>
      <c r="K29" s="36" t="s">
        <v>28</v>
      </c>
      <c r="L29" s="90"/>
      <c r="M29" s="90"/>
      <c r="N29" s="90"/>
      <c r="O29" s="90"/>
      <c r="P29" s="90"/>
      <c r="Q29" s="263"/>
      <c r="R29" s="90"/>
    </row>
    <row r="30" spans="1:18" ht="15" customHeight="1" x14ac:dyDescent="0.25">
      <c r="A30" s="35" t="s">
        <v>71</v>
      </c>
      <c r="B30" s="38">
        <v>43.7</v>
      </c>
      <c r="C30" s="38">
        <v>35.5</v>
      </c>
      <c r="D30" s="38">
        <v>15</v>
      </c>
      <c r="E30" s="38" t="s">
        <v>28</v>
      </c>
      <c r="F30" s="38" t="s">
        <v>28</v>
      </c>
      <c r="G30" s="36">
        <v>122</v>
      </c>
      <c r="H30" s="36">
        <v>98</v>
      </c>
      <c r="I30" s="36">
        <v>21</v>
      </c>
      <c r="J30" s="36" t="s">
        <v>28</v>
      </c>
      <c r="K30" s="36" t="s">
        <v>28</v>
      </c>
      <c r="L30" s="90"/>
      <c r="M30" s="90"/>
      <c r="N30" s="90"/>
      <c r="O30" s="90"/>
      <c r="P30" s="90"/>
      <c r="Q30" s="263"/>
      <c r="R30" s="90"/>
    </row>
    <row r="31" spans="1:18" ht="15" customHeight="1" x14ac:dyDescent="0.25">
      <c r="A31" s="35" t="s">
        <v>77</v>
      </c>
      <c r="B31" s="38">
        <v>19.899999999999999</v>
      </c>
      <c r="C31" s="38">
        <v>16.7</v>
      </c>
      <c r="D31" s="38">
        <v>2.9</v>
      </c>
      <c r="E31" s="38" t="s">
        <v>28</v>
      </c>
      <c r="F31" s="38">
        <v>7</v>
      </c>
      <c r="G31" s="36">
        <v>139</v>
      </c>
      <c r="H31" s="36">
        <v>109</v>
      </c>
      <c r="I31" s="36">
        <v>10</v>
      </c>
      <c r="J31" s="36" t="s">
        <v>28</v>
      </c>
      <c r="K31" s="36">
        <v>7</v>
      </c>
      <c r="L31" s="90"/>
      <c r="M31" s="90"/>
      <c r="N31" s="90"/>
      <c r="O31" s="90"/>
      <c r="P31" s="90"/>
      <c r="Q31" s="263"/>
      <c r="R31" s="90"/>
    </row>
    <row r="32" spans="1:18" ht="15" customHeight="1" x14ac:dyDescent="0.25">
      <c r="A32" s="35" t="s">
        <v>83</v>
      </c>
      <c r="B32" s="38">
        <v>58.6</v>
      </c>
      <c r="C32" s="38">
        <v>44.8</v>
      </c>
      <c r="D32" s="38">
        <v>2.2999999999999998</v>
      </c>
      <c r="E32" s="38" t="s">
        <v>28</v>
      </c>
      <c r="F32" s="38" t="s">
        <v>28</v>
      </c>
      <c r="G32" s="36">
        <v>81</v>
      </c>
      <c r="H32" s="36">
        <v>55</v>
      </c>
      <c r="I32" s="36">
        <v>2</v>
      </c>
      <c r="J32" s="36" t="s">
        <v>28</v>
      </c>
      <c r="K32" s="36" t="s">
        <v>28</v>
      </c>
      <c r="L32" s="90"/>
      <c r="M32" s="90"/>
      <c r="N32" s="90"/>
      <c r="O32" s="90"/>
      <c r="P32" s="90"/>
      <c r="Q32" s="263"/>
      <c r="R32" s="90"/>
    </row>
    <row r="33" spans="1:18" ht="15" customHeight="1" x14ac:dyDescent="0.25">
      <c r="A33" s="35" t="s">
        <v>85</v>
      </c>
      <c r="B33" s="38">
        <v>14.3</v>
      </c>
      <c r="C33" s="38">
        <v>15</v>
      </c>
      <c r="D33" s="38">
        <v>1.4</v>
      </c>
      <c r="E33" s="38" t="s">
        <v>28</v>
      </c>
      <c r="F33" s="38" t="s">
        <v>28</v>
      </c>
      <c r="G33" s="36">
        <v>13</v>
      </c>
      <c r="H33" s="36">
        <v>11</v>
      </c>
      <c r="I33" s="36" t="s">
        <v>28</v>
      </c>
      <c r="J33" s="36" t="s">
        <v>28</v>
      </c>
      <c r="K33" s="36" t="s">
        <v>28</v>
      </c>
      <c r="L33" s="90"/>
      <c r="M33" s="90"/>
      <c r="N33" s="90"/>
      <c r="O33" s="90"/>
      <c r="P33" s="90"/>
      <c r="Q33" s="263"/>
      <c r="R33" s="90"/>
    </row>
    <row r="34" spans="1:18" ht="24" customHeight="1" x14ac:dyDescent="0.25">
      <c r="A34" s="40" t="s">
        <v>114</v>
      </c>
      <c r="B34" s="34" t="s">
        <v>16</v>
      </c>
      <c r="C34" s="34" t="s">
        <v>16</v>
      </c>
      <c r="D34" s="34" t="s">
        <v>16</v>
      </c>
      <c r="E34" s="34" t="s">
        <v>16</v>
      </c>
      <c r="F34" s="34" t="s">
        <v>16</v>
      </c>
      <c r="G34" s="32" t="s">
        <v>16</v>
      </c>
      <c r="H34" s="32" t="s">
        <v>16</v>
      </c>
      <c r="I34" s="32" t="s">
        <v>16</v>
      </c>
      <c r="J34" s="32" t="s">
        <v>16</v>
      </c>
      <c r="K34" s="32" t="s">
        <v>16</v>
      </c>
      <c r="L34" s="263"/>
      <c r="M34" s="263"/>
      <c r="N34" s="263"/>
      <c r="O34" s="263"/>
      <c r="P34" s="263"/>
      <c r="Q34" s="263"/>
      <c r="R34" s="263"/>
    </row>
    <row r="35" spans="1:18" ht="15" customHeight="1" x14ac:dyDescent="0.25">
      <c r="A35" s="35" t="s">
        <v>115</v>
      </c>
      <c r="B35" s="38">
        <v>37.700000000000003</v>
      </c>
      <c r="C35" s="38">
        <v>32.799999999999997</v>
      </c>
      <c r="D35" s="38">
        <v>5</v>
      </c>
      <c r="E35" s="38">
        <v>19.100000000000001</v>
      </c>
      <c r="F35" s="38" t="s">
        <v>28</v>
      </c>
      <c r="G35" s="36">
        <v>87</v>
      </c>
      <c r="H35" s="36">
        <v>65</v>
      </c>
      <c r="I35" s="36">
        <v>6</v>
      </c>
      <c r="J35" s="36">
        <v>13</v>
      </c>
      <c r="K35" s="36" t="s">
        <v>28</v>
      </c>
      <c r="L35" s="263"/>
      <c r="M35" s="263"/>
      <c r="N35" s="263"/>
      <c r="O35" s="263"/>
      <c r="P35" s="263"/>
      <c r="Q35" s="263"/>
      <c r="R35" s="263"/>
    </row>
    <row r="36" spans="1:18" ht="15" customHeight="1" x14ac:dyDescent="0.25">
      <c r="A36" s="35" t="s">
        <v>116</v>
      </c>
      <c r="B36" s="38">
        <v>38.200000000000003</v>
      </c>
      <c r="C36" s="38">
        <v>30.4</v>
      </c>
      <c r="D36" s="38">
        <v>11.7</v>
      </c>
      <c r="E36" s="38">
        <v>11.3</v>
      </c>
      <c r="F36" s="38">
        <v>9.4</v>
      </c>
      <c r="G36" s="36">
        <v>145</v>
      </c>
      <c r="H36" s="36">
        <v>97</v>
      </c>
      <c r="I36" s="36">
        <v>28</v>
      </c>
      <c r="J36" s="36">
        <v>17</v>
      </c>
      <c r="K36" s="36">
        <v>3</v>
      </c>
      <c r="L36" s="263"/>
      <c r="M36" s="263"/>
      <c r="N36" s="263"/>
      <c r="O36" s="263"/>
      <c r="P36" s="263"/>
      <c r="Q36" s="263"/>
      <c r="R36" s="263"/>
    </row>
    <row r="37" spans="1:18" ht="15" customHeight="1" x14ac:dyDescent="0.25">
      <c r="A37" s="35" t="s">
        <v>117</v>
      </c>
      <c r="B37" s="38">
        <v>37</v>
      </c>
      <c r="C37" s="38">
        <v>27.6</v>
      </c>
      <c r="D37" s="38">
        <v>8.6999999999999993</v>
      </c>
      <c r="E37" s="38">
        <v>11.7</v>
      </c>
      <c r="F37" s="38">
        <v>7.7</v>
      </c>
      <c r="G37" s="36">
        <v>199</v>
      </c>
      <c r="H37" s="36">
        <v>135</v>
      </c>
      <c r="I37" s="36">
        <v>32</v>
      </c>
      <c r="J37" s="36">
        <v>27</v>
      </c>
      <c r="K37" s="36">
        <v>5</v>
      </c>
      <c r="L37" s="263"/>
      <c r="M37" s="263"/>
      <c r="N37" s="263"/>
      <c r="O37" s="263"/>
      <c r="P37" s="263"/>
      <c r="Q37" s="263"/>
      <c r="R37" s="263"/>
    </row>
    <row r="38" spans="1:18" ht="15" customHeight="1" x14ac:dyDescent="0.25">
      <c r="A38" s="35" t="s">
        <v>118</v>
      </c>
      <c r="B38" s="38">
        <v>41.6</v>
      </c>
      <c r="C38" s="38">
        <v>30.9</v>
      </c>
      <c r="D38" s="38">
        <v>10.6</v>
      </c>
      <c r="E38" s="38">
        <v>9.3000000000000007</v>
      </c>
      <c r="F38" s="38" t="s">
        <v>28</v>
      </c>
      <c r="G38" s="36">
        <v>314</v>
      </c>
      <c r="H38" s="36">
        <v>203</v>
      </c>
      <c r="I38" s="36">
        <v>60</v>
      </c>
      <c r="J38" s="36">
        <v>31</v>
      </c>
      <c r="K38" s="36" t="s">
        <v>28</v>
      </c>
      <c r="L38" s="263"/>
      <c r="M38" s="263"/>
      <c r="N38" s="263"/>
      <c r="O38" s="263"/>
      <c r="P38" s="263"/>
      <c r="Q38" s="263"/>
      <c r="R38" s="263"/>
    </row>
    <row r="39" spans="1:18" ht="15" customHeight="1" x14ac:dyDescent="0.25">
      <c r="A39" s="35" t="s">
        <v>119</v>
      </c>
      <c r="B39" s="38">
        <v>42.6</v>
      </c>
      <c r="C39" s="38">
        <v>28.8</v>
      </c>
      <c r="D39" s="38">
        <v>14.5</v>
      </c>
      <c r="E39" s="38">
        <v>18.399999999999999</v>
      </c>
      <c r="F39" s="38">
        <v>9.5</v>
      </c>
      <c r="G39" s="36">
        <v>340</v>
      </c>
      <c r="H39" s="36">
        <v>188</v>
      </c>
      <c r="I39" s="36">
        <v>81</v>
      </c>
      <c r="J39" s="36">
        <v>60</v>
      </c>
      <c r="K39" s="36">
        <v>10</v>
      </c>
      <c r="L39" s="263"/>
      <c r="M39" s="263"/>
      <c r="N39" s="263"/>
      <c r="O39" s="263"/>
      <c r="P39" s="263"/>
      <c r="Q39" s="263"/>
      <c r="R39" s="263"/>
    </row>
    <row r="40" spans="1:18" ht="15" customHeight="1" x14ac:dyDescent="0.25">
      <c r="A40" s="35" t="s">
        <v>120</v>
      </c>
      <c r="B40" s="38">
        <v>33.9</v>
      </c>
      <c r="C40" s="38">
        <v>22.9</v>
      </c>
      <c r="D40" s="38">
        <v>11.2</v>
      </c>
      <c r="E40" s="38">
        <v>16.2</v>
      </c>
      <c r="F40" s="38" t="s">
        <v>28</v>
      </c>
      <c r="G40" s="36">
        <v>335</v>
      </c>
      <c r="H40" s="36">
        <v>183</v>
      </c>
      <c r="I40" s="36">
        <v>70</v>
      </c>
      <c r="J40" s="36">
        <v>68</v>
      </c>
      <c r="K40" s="36" t="s">
        <v>28</v>
      </c>
      <c r="L40" s="263"/>
      <c r="M40" s="263"/>
      <c r="N40" s="263"/>
      <c r="O40" s="263"/>
      <c r="P40" s="263"/>
      <c r="Q40" s="263"/>
      <c r="R40" s="263"/>
    </row>
    <row r="41" spans="1:18" ht="15" customHeight="1" x14ac:dyDescent="0.25">
      <c r="A41" s="35" t="s">
        <v>121</v>
      </c>
      <c r="B41" s="38">
        <v>36.9</v>
      </c>
      <c r="C41" s="38">
        <v>24.7</v>
      </c>
      <c r="D41" s="38">
        <v>10</v>
      </c>
      <c r="E41" s="38">
        <v>18.2</v>
      </c>
      <c r="F41" s="38">
        <v>9.3000000000000007</v>
      </c>
      <c r="G41" s="36">
        <v>338</v>
      </c>
      <c r="H41" s="36">
        <v>188</v>
      </c>
      <c r="I41" s="36">
        <v>61</v>
      </c>
      <c r="J41" s="36">
        <v>80</v>
      </c>
      <c r="K41" s="36">
        <v>9</v>
      </c>
      <c r="L41" s="263"/>
      <c r="M41" s="263"/>
      <c r="N41" s="263"/>
      <c r="O41" s="263"/>
      <c r="P41" s="263"/>
      <c r="Q41" s="263"/>
      <c r="R41" s="263"/>
    </row>
    <row r="42" spans="1:18" ht="15" customHeight="1" x14ac:dyDescent="0.25">
      <c r="A42" s="35" t="s">
        <v>122</v>
      </c>
      <c r="B42" s="38">
        <v>33.4</v>
      </c>
      <c r="C42" s="38">
        <v>26.7</v>
      </c>
      <c r="D42" s="38">
        <v>7.6</v>
      </c>
      <c r="E42" s="38">
        <v>13.8</v>
      </c>
      <c r="F42" s="38">
        <v>7.3</v>
      </c>
      <c r="G42" s="36">
        <v>158</v>
      </c>
      <c r="H42" s="36">
        <v>100</v>
      </c>
      <c r="I42" s="36">
        <v>24</v>
      </c>
      <c r="J42" s="36">
        <v>24</v>
      </c>
      <c r="K42" s="36">
        <v>10</v>
      </c>
      <c r="L42" s="263"/>
      <c r="M42" s="263"/>
      <c r="N42" s="263"/>
      <c r="O42" s="263"/>
      <c r="P42" s="263"/>
      <c r="Q42" s="263"/>
      <c r="R42" s="263"/>
    </row>
    <row r="43" spans="1:18" ht="15" customHeight="1" x14ac:dyDescent="0.25">
      <c r="A43" s="35" t="s">
        <v>123</v>
      </c>
      <c r="B43" s="38">
        <v>41.9</v>
      </c>
      <c r="C43" s="38">
        <v>24.2</v>
      </c>
      <c r="D43" s="38">
        <v>11.3</v>
      </c>
      <c r="E43" s="38" t="s">
        <v>28</v>
      </c>
      <c r="F43" s="38">
        <v>8.1999999999999993</v>
      </c>
      <c r="G43" s="36">
        <v>172</v>
      </c>
      <c r="H43" s="36">
        <v>84</v>
      </c>
      <c r="I43" s="36">
        <v>32</v>
      </c>
      <c r="J43" s="36" t="s">
        <v>28</v>
      </c>
      <c r="K43" s="36">
        <v>6</v>
      </c>
      <c r="L43" s="263"/>
      <c r="M43" s="263"/>
      <c r="N43" s="263"/>
      <c r="O43" s="263"/>
      <c r="P43" s="263"/>
      <c r="Q43" s="263"/>
      <c r="R43" s="263"/>
    </row>
    <row r="44" spans="1:18" ht="15" customHeight="1" x14ac:dyDescent="0.25">
      <c r="A44" s="35" t="s">
        <v>124</v>
      </c>
      <c r="B44" s="38">
        <v>41.7</v>
      </c>
      <c r="C44" s="38">
        <v>27.3</v>
      </c>
      <c r="D44" s="38">
        <v>11.5</v>
      </c>
      <c r="E44" s="38">
        <v>17.100000000000001</v>
      </c>
      <c r="F44" s="38">
        <v>8.3000000000000007</v>
      </c>
      <c r="G44" s="36">
        <v>159</v>
      </c>
      <c r="H44" s="36">
        <v>95</v>
      </c>
      <c r="I44" s="36">
        <v>30</v>
      </c>
      <c r="J44" s="36">
        <v>24</v>
      </c>
      <c r="K44" s="36">
        <v>10</v>
      </c>
      <c r="L44" s="263"/>
      <c r="M44" s="263"/>
      <c r="N44" s="263"/>
      <c r="O44" s="263"/>
      <c r="P44" s="263"/>
      <c r="Q44" s="263"/>
      <c r="R44" s="263"/>
    </row>
    <row r="45" spans="1:18" ht="24" customHeight="1" x14ac:dyDescent="0.25">
      <c r="A45" s="40" t="s">
        <v>794</v>
      </c>
      <c r="B45" s="34" t="s">
        <v>16</v>
      </c>
      <c r="C45" s="34" t="s">
        <v>16</v>
      </c>
      <c r="D45" s="34" t="s">
        <v>16</v>
      </c>
      <c r="E45" s="34" t="s">
        <v>16</v>
      </c>
      <c r="F45" s="34" t="s">
        <v>16</v>
      </c>
      <c r="G45" s="32" t="s">
        <v>16</v>
      </c>
      <c r="H45" s="32" t="s">
        <v>16</v>
      </c>
      <c r="I45" s="32" t="s">
        <v>16</v>
      </c>
      <c r="J45" s="32" t="s">
        <v>16</v>
      </c>
      <c r="K45" s="32" t="s">
        <v>16</v>
      </c>
      <c r="L45" s="263"/>
      <c r="M45" s="263"/>
      <c r="N45" s="263"/>
      <c r="O45" s="263"/>
      <c r="P45" s="263"/>
      <c r="Q45" s="263"/>
      <c r="R45" s="263"/>
    </row>
    <row r="46" spans="1:18" ht="15" customHeight="1" x14ac:dyDescent="0.25">
      <c r="A46" s="35" t="s">
        <v>795</v>
      </c>
      <c r="B46" s="38">
        <v>45.1</v>
      </c>
      <c r="C46" s="38">
        <v>35.299999999999997</v>
      </c>
      <c r="D46" s="38">
        <v>10.6</v>
      </c>
      <c r="E46" s="38">
        <v>11.9</v>
      </c>
      <c r="F46" s="38">
        <v>10.3</v>
      </c>
      <c r="G46" s="36">
        <v>499</v>
      </c>
      <c r="H46" s="36">
        <v>330</v>
      </c>
      <c r="I46" s="36">
        <v>80</v>
      </c>
      <c r="J46" s="36">
        <v>64</v>
      </c>
      <c r="K46" s="36">
        <v>26</v>
      </c>
      <c r="L46" s="263"/>
      <c r="M46" s="263"/>
      <c r="N46" s="263"/>
      <c r="O46" s="263"/>
      <c r="P46" s="263"/>
      <c r="Q46" s="263"/>
      <c r="R46" s="263"/>
    </row>
    <row r="47" spans="1:18" ht="15" customHeight="1" x14ac:dyDescent="0.25">
      <c r="A47" s="39" t="s">
        <v>796</v>
      </c>
      <c r="B47" s="38">
        <v>49.3</v>
      </c>
      <c r="C47" s="38">
        <v>40.700000000000003</v>
      </c>
      <c r="D47" s="38">
        <v>6.7</v>
      </c>
      <c r="E47" s="38">
        <v>11.6</v>
      </c>
      <c r="F47" s="38">
        <v>12.3</v>
      </c>
      <c r="G47" s="36">
        <v>111</v>
      </c>
      <c r="H47" s="36">
        <v>81</v>
      </c>
      <c r="I47" s="36">
        <v>10</v>
      </c>
      <c r="J47" s="36">
        <v>12</v>
      </c>
      <c r="K47" s="36">
        <v>8</v>
      </c>
      <c r="L47" s="263"/>
      <c r="M47" s="90"/>
      <c r="N47" s="263"/>
      <c r="O47" s="263"/>
      <c r="P47" s="263"/>
      <c r="Q47" s="263"/>
      <c r="R47" s="263"/>
    </row>
    <row r="48" spans="1:18" ht="15" customHeight="1" x14ac:dyDescent="0.25">
      <c r="A48" s="39" t="s">
        <v>797</v>
      </c>
      <c r="B48" s="38">
        <v>44.1</v>
      </c>
      <c r="C48" s="38">
        <v>33.799999999999997</v>
      </c>
      <c r="D48" s="38">
        <v>11.5</v>
      </c>
      <c r="E48" s="38">
        <v>11.9</v>
      </c>
      <c r="F48" s="38">
        <v>9.6999999999999993</v>
      </c>
      <c r="G48" s="36">
        <v>389</v>
      </c>
      <c r="H48" s="36">
        <v>249</v>
      </c>
      <c r="I48" s="36">
        <v>70</v>
      </c>
      <c r="J48" s="36">
        <v>52</v>
      </c>
      <c r="K48" s="36">
        <v>19</v>
      </c>
      <c r="L48" s="263"/>
      <c r="M48" s="90"/>
      <c r="N48" s="263"/>
      <c r="O48" s="263"/>
      <c r="P48" s="263"/>
      <c r="Q48" s="263"/>
      <c r="R48" s="263"/>
    </row>
    <row r="49" spans="1:13" ht="15" customHeight="1" x14ac:dyDescent="0.25">
      <c r="A49" s="35" t="s">
        <v>798</v>
      </c>
      <c r="B49" s="38">
        <v>42.8</v>
      </c>
      <c r="C49" s="38">
        <v>35.6</v>
      </c>
      <c r="D49" s="38">
        <v>7.3</v>
      </c>
      <c r="E49" s="38">
        <v>9.6999999999999993</v>
      </c>
      <c r="F49" s="38">
        <v>4.9000000000000004</v>
      </c>
      <c r="G49" s="36">
        <v>642</v>
      </c>
      <c r="H49" s="36">
        <v>499</v>
      </c>
      <c r="I49" s="36">
        <v>77</v>
      </c>
      <c r="J49" s="36">
        <v>55</v>
      </c>
      <c r="K49" s="36">
        <v>11</v>
      </c>
      <c r="L49" s="263"/>
      <c r="M49" s="90"/>
    </row>
    <row r="50" spans="1:13" ht="15" customHeight="1" x14ac:dyDescent="0.25">
      <c r="A50" s="39" t="s">
        <v>799</v>
      </c>
      <c r="B50" s="38">
        <v>45.7</v>
      </c>
      <c r="C50" s="38">
        <v>38.1</v>
      </c>
      <c r="D50" s="38">
        <v>7.3</v>
      </c>
      <c r="E50" s="38">
        <v>9.4</v>
      </c>
      <c r="F50" s="38">
        <v>4.7</v>
      </c>
      <c r="G50" s="36">
        <v>494</v>
      </c>
      <c r="H50" s="36">
        <v>386</v>
      </c>
      <c r="I50" s="36">
        <v>58</v>
      </c>
      <c r="J50" s="36">
        <v>41</v>
      </c>
      <c r="K50" s="36">
        <v>9</v>
      </c>
      <c r="L50" s="263"/>
      <c r="M50" s="90"/>
    </row>
    <row r="51" spans="1:13" ht="15" customHeight="1" x14ac:dyDescent="0.25">
      <c r="A51" s="39" t="s">
        <v>800</v>
      </c>
      <c r="B51" s="38">
        <v>35.1</v>
      </c>
      <c r="C51" s="38">
        <v>29.1</v>
      </c>
      <c r="D51" s="38">
        <v>7.1</v>
      </c>
      <c r="E51" s="38">
        <v>10.4</v>
      </c>
      <c r="F51" s="38">
        <v>5.7</v>
      </c>
      <c r="G51" s="36">
        <v>149</v>
      </c>
      <c r="H51" s="36">
        <v>114</v>
      </c>
      <c r="I51" s="36">
        <v>19</v>
      </c>
      <c r="J51" s="36">
        <v>14</v>
      </c>
      <c r="K51" s="36">
        <v>2</v>
      </c>
      <c r="L51" s="263"/>
      <c r="M51" s="90"/>
    </row>
    <row r="52" spans="1:13" ht="15" customHeight="1" x14ac:dyDescent="0.25">
      <c r="A52" s="35" t="s">
        <v>801</v>
      </c>
      <c r="B52" s="38">
        <v>30.9</v>
      </c>
      <c r="C52" s="38">
        <v>18.2</v>
      </c>
      <c r="D52" s="38">
        <v>12.6</v>
      </c>
      <c r="E52" s="38">
        <v>17.8</v>
      </c>
      <c r="F52" s="38">
        <v>9.1</v>
      </c>
      <c r="G52" s="36">
        <v>615</v>
      </c>
      <c r="H52" s="36">
        <v>281</v>
      </c>
      <c r="I52" s="36">
        <v>155</v>
      </c>
      <c r="J52" s="36">
        <v>153</v>
      </c>
      <c r="K52" s="36">
        <v>26</v>
      </c>
      <c r="L52" s="263"/>
      <c r="M52" s="90"/>
    </row>
    <row r="53" spans="1:13" ht="15" customHeight="1" x14ac:dyDescent="0.25">
      <c r="A53" s="39" t="s">
        <v>802</v>
      </c>
      <c r="B53" s="38">
        <v>30.6</v>
      </c>
      <c r="C53" s="38">
        <v>18.7</v>
      </c>
      <c r="D53" s="38">
        <v>14</v>
      </c>
      <c r="E53" s="38">
        <v>17.7</v>
      </c>
      <c r="F53" s="38">
        <v>6.2</v>
      </c>
      <c r="G53" s="36">
        <v>305</v>
      </c>
      <c r="H53" s="36">
        <v>137</v>
      </c>
      <c r="I53" s="36">
        <v>79</v>
      </c>
      <c r="J53" s="36">
        <v>78</v>
      </c>
      <c r="K53" s="36">
        <v>12</v>
      </c>
      <c r="L53" s="263"/>
      <c r="M53" s="90"/>
    </row>
    <row r="54" spans="1:13" ht="15" customHeight="1" x14ac:dyDescent="0.25">
      <c r="A54" s="39" t="s">
        <v>803</v>
      </c>
      <c r="B54" s="38">
        <v>30.1</v>
      </c>
      <c r="C54" s="38">
        <v>19.5</v>
      </c>
      <c r="D54" s="38">
        <v>13.1</v>
      </c>
      <c r="E54" s="38">
        <v>14.9</v>
      </c>
      <c r="F54" s="38">
        <v>5</v>
      </c>
      <c r="G54" s="36">
        <v>104</v>
      </c>
      <c r="H54" s="36">
        <v>52</v>
      </c>
      <c r="I54" s="36">
        <v>27</v>
      </c>
      <c r="J54" s="36">
        <v>22</v>
      </c>
      <c r="K54" s="36">
        <v>2</v>
      </c>
      <c r="L54" s="263"/>
      <c r="M54" s="90"/>
    </row>
    <row r="55" spans="1:13" ht="15" customHeight="1" x14ac:dyDescent="0.25">
      <c r="A55" s="39" t="s">
        <v>804</v>
      </c>
      <c r="B55" s="38">
        <v>31.9</v>
      </c>
      <c r="C55" s="38">
        <v>17</v>
      </c>
      <c r="D55" s="38">
        <v>10.8</v>
      </c>
      <c r="E55" s="38">
        <v>19.7</v>
      </c>
      <c r="F55" s="38" t="s">
        <v>28</v>
      </c>
      <c r="G55" s="36">
        <v>207</v>
      </c>
      <c r="H55" s="36">
        <v>93</v>
      </c>
      <c r="I55" s="36">
        <v>49</v>
      </c>
      <c r="J55" s="36">
        <v>52</v>
      </c>
      <c r="K55" s="36" t="s">
        <v>28</v>
      </c>
      <c r="L55" s="263"/>
      <c r="M55" s="90"/>
    </row>
    <row r="56" spans="1:13" ht="15" customHeight="1" x14ac:dyDescent="0.25">
      <c r="A56" s="35" t="s">
        <v>805</v>
      </c>
      <c r="B56" s="38">
        <v>38.6</v>
      </c>
      <c r="C56" s="38">
        <v>21.4</v>
      </c>
      <c r="D56" s="38">
        <v>12.3</v>
      </c>
      <c r="E56" s="38">
        <v>23.6</v>
      </c>
      <c r="F56" s="38">
        <v>20.9</v>
      </c>
      <c r="G56" s="36">
        <v>491</v>
      </c>
      <c r="H56" s="36">
        <v>229</v>
      </c>
      <c r="I56" s="36">
        <v>112</v>
      </c>
      <c r="J56" s="36">
        <v>123</v>
      </c>
      <c r="K56" s="36">
        <v>27</v>
      </c>
      <c r="L56" s="263"/>
      <c r="M56" s="90"/>
    </row>
    <row r="57" spans="1:13" ht="15" customHeight="1" x14ac:dyDescent="0.25">
      <c r="A57" s="39" t="s">
        <v>99</v>
      </c>
      <c r="B57" s="38">
        <v>43.4</v>
      </c>
      <c r="C57" s="38">
        <v>27.8</v>
      </c>
      <c r="D57" s="38">
        <v>9.5</v>
      </c>
      <c r="E57" s="38" t="s">
        <v>28</v>
      </c>
      <c r="F57" s="38">
        <v>7.7</v>
      </c>
      <c r="G57" s="36">
        <v>163</v>
      </c>
      <c r="H57" s="36">
        <v>89</v>
      </c>
      <c r="I57" s="36">
        <v>25</v>
      </c>
      <c r="J57" s="36" t="s">
        <v>28</v>
      </c>
      <c r="K57" s="36">
        <v>4</v>
      </c>
      <c r="L57" s="263"/>
      <c r="M57" s="90"/>
    </row>
    <row r="58" spans="1:13" ht="15" customHeight="1" x14ac:dyDescent="0.25">
      <c r="A58" s="39" t="s">
        <v>100</v>
      </c>
      <c r="B58" s="38">
        <v>36.5</v>
      </c>
      <c r="C58" s="38">
        <v>18.7</v>
      </c>
      <c r="D58" s="38">
        <v>13.5</v>
      </c>
      <c r="E58" s="38">
        <v>22</v>
      </c>
      <c r="F58" s="38" t="s">
        <v>28</v>
      </c>
      <c r="G58" s="36">
        <v>328</v>
      </c>
      <c r="H58" s="36">
        <v>141</v>
      </c>
      <c r="I58" s="36">
        <v>87</v>
      </c>
      <c r="J58" s="36">
        <v>77</v>
      </c>
      <c r="K58" s="36" t="s">
        <v>28</v>
      </c>
      <c r="L58" s="263"/>
      <c r="M58" s="90"/>
    </row>
    <row r="59" spans="1:13" ht="24" customHeight="1" x14ac:dyDescent="0.25">
      <c r="A59" s="40" t="s">
        <v>806</v>
      </c>
      <c r="B59" s="34" t="s">
        <v>16</v>
      </c>
      <c r="C59" s="34" t="s">
        <v>16</v>
      </c>
      <c r="D59" s="34" t="s">
        <v>16</v>
      </c>
      <c r="E59" s="34" t="s">
        <v>16</v>
      </c>
      <c r="F59" s="34" t="s">
        <v>16</v>
      </c>
      <c r="G59" s="32" t="s">
        <v>16</v>
      </c>
      <c r="H59" s="32" t="s">
        <v>16</v>
      </c>
      <c r="I59" s="32" t="s">
        <v>16</v>
      </c>
      <c r="J59" s="32" t="s">
        <v>16</v>
      </c>
      <c r="K59" s="32" t="s">
        <v>16</v>
      </c>
      <c r="L59" s="263" t="s">
        <v>819</v>
      </c>
      <c r="M59" s="263" t="s">
        <v>820</v>
      </c>
    </row>
    <row r="60" spans="1:13" ht="15" customHeight="1" x14ac:dyDescent="0.25">
      <c r="A60" s="35" t="s">
        <v>126</v>
      </c>
      <c r="B60" s="38">
        <v>44.8</v>
      </c>
      <c r="C60" s="38">
        <v>35.799999999999997</v>
      </c>
      <c r="D60" s="38">
        <v>7.8</v>
      </c>
      <c r="E60" s="38">
        <v>13.4</v>
      </c>
      <c r="F60" s="38">
        <v>7.2</v>
      </c>
      <c r="G60" s="36">
        <v>1097</v>
      </c>
      <c r="H60" s="36">
        <v>802</v>
      </c>
      <c r="I60" s="36">
        <v>132</v>
      </c>
      <c r="J60" s="36">
        <v>130</v>
      </c>
      <c r="K60" s="36">
        <v>33</v>
      </c>
      <c r="L60" s="263" t="str">
        <f t="shared" ref="L60:L64" si="0">A60</f>
        <v>Very cold/Cold</v>
      </c>
      <c r="M60" s="90">
        <f t="shared" ref="M60:M64" si="1">C60/$C$5</f>
        <v>1.3210332103321032</v>
      </c>
    </row>
    <row r="61" spans="1:13" ht="15" customHeight="1" x14ac:dyDescent="0.25">
      <c r="A61" s="41" t="s">
        <v>128</v>
      </c>
      <c r="B61" s="38">
        <v>33.9</v>
      </c>
      <c r="C61" s="38">
        <v>22.8</v>
      </c>
      <c r="D61" s="38">
        <v>12.5</v>
      </c>
      <c r="E61" s="38">
        <v>14.9</v>
      </c>
      <c r="F61" s="38">
        <v>7.4</v>
      </c>
      <c r="G61" s="36">
        <v>657</v>
      </c>
      <c r="H61" s="36">
        <v>359</v>
      </c>
      <c r="I61" s="36">
        <v>149</v>
      </c>
      <c r="J61" s="36">
        <v>126</v>
      </c>
      <c r="K61" s="36">
        <v>22</v>
      </c>
      <c r="L61" s="263" t="str">
        <f t="shared" si="0"/>
        <v>Mixed-humid</v>
      </c>
      <c r="M61" s="90">
        <f t="shared" si="1"/>
        <v>0.84132841328413277</v>
      </c>
    </row>
    <row r="62" spans="1:13" ht="15" customHeight="1" x14ac:dyDescent="0.25">
      <c r="A62" s="41" t="s">
        <v>129</v>
      </c>
      <c r="B62" s="38">
        <v>33.9</v>
      </c>
      <c r="C62" s="38">
        <v>14.2</v>
      </c>
      <c r="D62" s="38">
        <v>13.1</v>
      </c>
      <c r="E62" s="38">
        <v>23.1</v>
      </c>
      <c r="F62" s="38" t="s">
        <v>28</v>
      </c>
      <c r="G62" s="36">
        <v>255</v>
      </c>
      <c r="H62" s="36">
        <v>89</v>
      </c>
      <c r="I62" s="36">
        <v>78</v>
      </c>
      <c r="J62" s="36">
        <v>71</v>
      </c>
      <c r="K62" s="36" t="s">
        <v>28</v>
      </c>
      <c r="L62" s="263" t="str">
        <f t="shared" si="0"/>
        <v>Mixed-dry/Hot-dry</v>
      </c>
      <c r="M62" s="90">
        <f t="shared" si="1"/>
        <v>0.52398523985239842</v>
      </c>
    </row>
    <row r="63" spans="1:13" ht="15" customHeight="1" x14ac:dyDescent="0.25">
      <c r="A63" s="35" t="s">
        <v>130</v>
      </c>
      <c r="B63" s="38">
        <v>32.200000000000003</v>
      </c>
      <c r="C63" s="38">
        <v>14.6</v>
      </c>
      <c r="D63" s="38">
        <v>15.1</v>
      </c>
      <c r="E63" s="38">
        <v>19.8</v>
      </c>
      <c r="F63" s="38" t="s">
        <v>28</v>
      </c>
      <c r="G63" s="36">
        <v>171</v>
      </c>
      <c r="H63" s="36">
        <v>48</v>
      </c>
      <c r="I63" s="36">
        <v>52</v>
      </c>
      <c r="J63" s="36">
        <v>57</v>
      </c>
      <c r="K63" s="36" t="s">
        <v>28</v>
      </c>
      <c r="L63" s="263" t="str">
        <f t="shared" si="0"/>
        <v>Hot-humid</v>
      </c>
      <c r="M63" s="90">
        <f t="shared" si="1"/>
        <v>0.53874538745387446</v>
      </c>
    </row>
    <row r="64" spans="1:13" ht="15" customHeight="1" x14ac:dyDescent="0.25">
      <c r="A64" s="41" t="s">
        <v>131</v>
      </c>
      <c r="B64" s="38">
        <v>33.6</v>
      </c>
      <c r="C64" s="38">
        <v>23.4</v>
      </c>
      <c r="D64" s="38">
        <v>10.4</v>
      </c>
      <c r="E64" s="38">
        <v>14.4</v>
      </c>
      <c r="F64" s="38" t="s">
        <v>28</v>
      </c>
      <c r="G64" s="36">
        <v>68</v>
      </c>
      <c r="H64" s="36">
        <v>40</v>
      </c>
      <c r="I64" s="36">
        <v>13</v>
      </c>
      <c r="J64" s="36">
        <v>10</v>
      </c>
      <c r="K64" s="36" t="s">
        <v>28</v>
      </c>
      <c r="L64" s="263" t="str">
        <f t="shared" si="0"/>
        <v>Marine</v>
      </c>
      <c r="M64" s="90">
        <f t="shared" si="1"/>
        <v>0.86346863468634671</v>
      </c>
    </row>
    <row r="65" spans="1:11" ht="24" customHeight="1" x14ac:dyDescent="0.25">
      <c r="A65" s="40" t="s">
        <v>132</v>
      </c>
      <c r="B65" s="34" t="s">
        <v>16</v>
      </c>
      <c r="C65" s="34" t="s">
        <v>16</v>
      </c>
      <c r="D65" s="34" t="s">
        <v>16</v>
      </c>
      <c r="E65" s="34" t="s">
        <v>16</v>
      </c>
      <c r="F65" s="34" t="s">
        <v>16</v>
      </c>
      <c r="G65" s="32" t="s">
        <v>16</v>
      </c>
      <c r="H65" s="32" t="s">
        <v>16</v>
      </c>
      <c r="I65" s="32" t="s">
        <v>16</v>
      </c>
      <c r="J65" s="32" t="s">
        <v>16</v>
      </c>
      <c r="K65" s="32" t="s">
        <v>16</v>
      </c>
    </row>
    <row r="66" spans="1:11" ht="15" customHeight="1" x14ac:dyDescent="0.25">
      <c r="A66" s="35" t="s">
        <v>133</v>
      </c>
      <c r="B66" s="38">
        <v>37.5</v>
      </c>
      <c r="C66" s="38">
        <v>24.6</v>
      </c>
      <c r="D66" s="38">
        <v>10.1</v>
      </c>
      <c r="E66" s="38">
        <v>22.7</v>
      </c>
      <c r="F66" s="38">
        <v>10</v>
      </c>
      <c r="G66" s="36">
        <v>918</v>
      </c>
      <c r="H66" s="36">
        <v>541</v>
      </c>
      <c r="I66" s="36">
        <v>156</v>
      </c>
      <c r="J66" s="36">
        <v>194</v>
      </c>
      <c r="K66" s="36">
        <v>27</v>
      </c>
    </row>
    <row r="67" spans="1:11" ht="15" customHeight="1" x14ac:dyDescent="0.25">
      <c r="A67" s="41" t="s">
        <v>134</v>
      </c>
      <c r="B67" s="38">
        <v>34.799999999999997</v>
      </c>
      <c r="C67" s="38">
        <v>25.1</v>
      </c>
      <c r="D67" s="38">
        <v>9.6</v>
      </c>
      <c r="E67" s="38">
        <v>13.9</v>
      </c>
      <c r="F67" s="38">
        <v>7.1</v>
      </c>
      <c r="G67" s="36">
        <v>511</v>
      </c>
      <c r="H67" s="36">
        <v>314</v>
      </c>
      <c r="I67" s="36">
        <v>96</v>
      </c>
      <c r="J67" s="36">
        <v>83</v>
      </c>
      <c r="K67" s="36">
        <v>17</v>
      </c>
    </row>
    <row r="68" spans="1:11" ht="15" customHeight="1" x14ac:dyDescent="0.25">
      <c r="A68" s="41" t="s">
        <v>135</v>
      </c>
      <c r="B68" s="38">
        <v>36.9</v>
      </c>
      <c r="C68" s="38">
        <v>29.4</v>
      </c>
      <c r="D68" s="38">
        <v>8.8000000000000007</v>
      </c>
      <c r="E68" s="38">
        <v>8.1</v>
      </c>
      <c r="F68" s="38">
        <v>7.5</v>
      </c>
      <c r="G68" s="36">
        <v>224</v>
      </c>
      <c r="H68" s="36">
        <v>157</v>
      </c>
      <c r="I68" s="36">
        <v>41</v>
      </c>
      <c r="J68" s="36">
        <v>19</v>
      </c>
      <c r="K68" s="36">
        <v>7</v>
      </c>
    </row>
    <row r="69" spans="1:11" ht="15" customHeight="1" x14ac:dyDescent="0.25">
      <c r="A69" s="35" t="s">
        <v>136</v>
      </c>
      <c r="B69" s="38">
        <v>45.4</v>
      </c>
      <c r="C69" s="38">
        <v>35.1</v>
      </c>
      <c r="D69" s="38">
        <v>14.1</v>
      </c>
      <c r="E69" s="38">
        <v>9.4</v>
      </c>
      <c r="F69" s="38">
        <v>13.6</v>
      </c>
      <c r="G69" s="36">
        <v>443</v>
      </c>
      <c r="H69" s="36">
        <v>261</v>
      </c>
      <c r="I69" s="36">
        <v>102</v>
      </c>
      <c r="J69" s="36">
        <v>50</v>
      </c>
      <c r="K69" s="36">
        <v>31</v>
      </c>
    </row>
    <row r="70" spans="1:11" ht="15" customHeight="1" x14ac:dyDescent="0.25">
      <c r="A70" s="41" t="s">
        <v>137</v>
      </c>
      <c r="B70" s="38">
        <v>40.700000000000003</v>
      </c>
      <c r="C70" s="38">
        <v>30.6</v>
      </c>
      <c r="D70" s="38">
        <v>13.8</v>
      </c>
      <c r="E70" s="38" t="s">
        <v>28</v>
      </c>
      <c r="F70" s="38">
        <v>12.7</v>
      </c>
      <c r="G70" s="36">
        <v>151</v>
      </c>
      <c r="H70" s="36">
        <v>66</v>
      </c>
      <c r="I70" s="36">
        <v>28</v>
      </c>
      <c r="J70" s="36" t="s">
        <v>28</v>
      </c>
      <c r="K70" s="36">
        <v>9</v>
      </c>
    </row>
    <row r="71" spans="1:11" ht="24" customHeight="1" x14ac:dyDescent="0.25">
      <c r="A71" s="40" t="s">
        <v>144</v>
      </c>
      <c r="B71" s="34" t="s">
        <v>16</v>
      </c>
      <c r="C71" s="34" t="s">
        <v>16</v>
      </c>
      <c r="D71" s="34" t="s">
        <v>16</v>
      </c>
      <c r="E71" s="34" t="s">
        <v>16</v>
      </c>
      <c r="F71" s="34" t="s">
        <v>16</v>
      </c>
      <c r="G71" s="32" t="s">
        <v>16</v>
      </c>
      <c r="H71" s="32" t="s">
        <v>16</v>
      </c>
      <c r="I71" s="32" t="s">
        <v>16</v>
      </c>
      <c r="J71" s="32" t="s">
        <v>16</v>
      </c>
      <c r="K71" s="32" t="s">
        <v>16</v>
      </c>
    </row>
    <row r="72" spans="1:11" ht="15" customHeight="1" x14ac:dyDescent="0.25">
      <c r="A72" s="35" t="s">
        <v>145</v>
      </c>
      <c r="B72" s="44">
        <v>33.6</v>
      </c>
      <c r="C72" s="44">
        <v>25.7</v>
      </c>
      <c r="D72" s="44">
        <v>10.1</v>
      </c>
      <c r="E72" s="44">
        <v>16.7</v>
      </c>
      <c r="F72" s="44" t="s">
        <v>28</v>
      </c>
      <c r="G72" s="42">
        <v>264</v>
      </c>
      <c r="H72" s="42">
        <v>184</v>
      </c>
      <c r="I72" s="42">
        <v>47</v>
      </c>
      <c r="J72" s="42">
        <v>29</v>
      </c>
      <c r="K72" s="42">
        <v>4</v>
      </c>
    </row>
    <row r="73" spans="1:11" ht="15" customHeight="1" x14ac:dyDescent="0.25">
      <c r="A73" s="41" t="s">
        <v>146</v>
      </c>
      <c r="B73" s="44">
        <v>37.700000000000003</v>
      </c>
      <c r="C73" s="44">
        <v>25.5</v>
      </c>
      <c r="D73" s="44">
        <v>11.2</v>
      </c>
      <c r="E73" s="44">
        <v>39.6</v>
      </c>
      <c r="F73" s="44">
        <v>8.1999999999999993</v>
      </c>
      <c r="G73" s="42">
        <v>202</v>
      </c>
      <c r="H73" s="42">
        <v>119</v>
      </c>
      <c r="I73" s="42">
        <v>37</v>
      </c>
      <c r="J73" s="42">
        <v>43</v>
      </c>
      <c r="K73" s="42">
        <v>3</v>
      </c>
    </row>
    <row r="74" spans="1:11" ht="15" customHeight="1" x14ac:dyDescent="0.25">
      <c r="A74" s="41" t="s">
        <v>147</v>
      </c>
      <c r="B74" s="44">
        <v>43.8</v>
      </c>
      <c r="C74" s="44">
        <v>26.6</v>
      </c>
      <c r="D74" s="44">
        <v>12.7</v>
      </c>
      <c r="E74" s="44">
        <v>54.1</v>
      </c>
      <c r="F74" s="44">
        <v>6.2</v>
      </c>
      <c r="G74" s="42">
        <v>298</v>
      </c>
      <c r="H74" s="42">
        <v>157</v>
      </c>
      <c r="I74" s="42">
        <v>57</v>
      </c>
      <c r="J74" s="42">
        <v>81</v>
      </c>
      <c r="K74" s="42">
        <v>2</v>
      </c>
    </row>
    <row r="75" spans="1:11" ht="15" customHeight="1" x14ac:dyDescent="0.25">
      <c r="A75" s="35" t="s">
        <v>148</v>
      </c>
      <c r="B75" s="44">
        <v>35.700000000000003</v>
      </c>
      <c r="C75" s="44">
        <v>24.2</v>
      </c>
      <c r="D75" s="44">
        <v>9.3000000000000007</v>
      </c>
      <c r="E75" s="44">
        <v>15.8</v>
      </c>
      <c r="F75" s="44">
        <v>8.6999999999999993</v>
      </c>
      <c r="G75" s="42">
        <v>379</v>
      </c>
      <c r="H75" s="42">
        <v>225</v>
      </c>
      <c r="I75" s="42">
        <v>70</v>
      </c>
      <c r="J75" s="42">
        <v>71</v>
      </c>
      <c r="K75" s="42">
        <v>12</v>
      </c>
    </row>
    <row r="76" spans="1:11" ht="15" customHeight="1" x14ac:dyDescent="0.25">
      <c r="A76" s="41" t="s">
        <v>149</v>
      </c>
      <c r="B76" s="44">
        <v>34.9</v>
      </c>
      <c r="C76" s="44">
        <v>25.4</v>
      </c>
      <c r="D76" s="44">
        <v>9.6999999999999993</v>
      </c>
      <c r="E76" s="44">
        <v>8</v>
      </c>
      <c r="F76" s="44">
        <v>7.8</v>
      </c>
      <c r="G76" s="42">
        <v>360</v>
      </c>
      <c r="H76" s="42">
        <v>227</v>
      </c>
      <c r="I76" s="42">
        <v>75</v>
      </c>
      <c r="J76" s="42">
        <v>41</v>
      </c>
      <c r="K76" s="42">
        <v>16</v>
      </c>
    </row>
    <row r="77" spans="1:11" ht="15" customHeight="1" x14ac:dyDescent="0.25">
      <c r="A77" s="41" t="s">
        <v>150</v>
      </c>
      <c r="B77" s="44">
        <v>38</v>
      </c>
      <c r="C77" s="44">
        <v>27.5</v>
      </c>
      <c r="D77" s="44">
        <v>8.4</v>
      </c>
      <c r="E77" s="44">
        <v>8.8000000000000007</v>
      </c>
      <c r="F77" s="44">
        <v>14.3</v>
      </c>
      <c r="G77" s="42">
        <v>337</v>
      </c>
      <c r="H77" s="42">
        <v>206</v>
      </c>
      <c r="I77" s="42">
        <v>54</v>
      </c>
      <c r="J77" s="42">
        <v>43</v>
      </c>
      <c r="K77" s="42">
        <v>34</v>
      </c>
    </row>
    <row r="78" spans="1:11" ht="15" customHeight="1" x14ac:dyDescent="0.25">
      <c r="A78" s="41" t="s">
        <v>151</v>
      </c>
      <c r="B78" s="44">
        <v>45.8</v>
      </c>
      <c r="C78" s="44">
        <v>36.4</v>
      </c>
      <c r="D78" s="44">
        <v>15.5</v>
      </c>
      <c r="E78" s="44">
        <v>14.4</v>
      </c>
      <c r="F78" s="44">
        <v>9.6999999999999993</v>
      </c>
      <c r="G78" s="42">
        <v>408</v>
      </c>
      <c r="H78" s="42">
        <v>221</v>
      </c>
      <c r="I78" s="42">
        <v>83</v>
      </c>
      <c r="J78" s="42">
        <v>85</v>
      </c>
      <c r="K78" s="42">
        <v>19</v>
      </c>
    </row>
    <row r="79" spans="1:11" ht="24" customHeight="1" x14ac:dyDescent="0.25">
      <c r="A79" s="40" t="s">
        <v>152</v>
      </c>
      <c r="B79" s="47" t="s">
        <v>16</v>
      </c>
      <c r="C79" s="47" t="s">
        <v>16</v>
      </c>
      <c r="D79" s="47" t="s">
        <v>16</v>
      </c>
      <c r="E79" s="47" t="s">
        <v>16</v>
      </c>
      <c r="F79" s="47" t="s">
        <v>16</v>
      </c>
      <c r="G79" s="45" t="s">
        <v>16</v>
      </c>
      <c r="H79" s="45" t="s">
        <v>16</v>
      </c>
      <c r="I79" s="45" t="s">
        <v>16</v>
      </c>
      <c r="J79" s="45" t="s">
        <v>16</v>
      </c>
      <c r="K79" s="45" t="s">
        <v>16</v>
      </c>
    </row>
    <row r="80" spans="1:11" ht="15" customHeight="1" x14ac:dyDescent="0.25">
      <c r="A80" s="35" t="s">
        <v>153</v>
      </c>
      <c r="B80" s="44">
        <v>26.2</v>
      </c>
      <c r="C80" s="44">
        <v>23.6</v>
      </c>
      <c r="D80" s="44">
        <v>3.6</v>
      </c>
      <c r="E80" s="44">
        <v>6.3</v>
      </c>
      <c r="F80" s="44" t="s">
        <v>28</v>
      </c>
      <c r="G80" s="42">
        <v>97</v>
      </c>
      <c r="H80" s="42">
        <v>79</v>
      </c>
      <c r="I80" s="42">
        <v>9</v>
      </c>
      <c r="J80" s="42">
        <v>8</v>
      </c>
      <c r="K80" s="42" t="s">
        <v>28</v>
      </c>
    </row>
    <row r="81" spans="1:11" ht="15" customHeight="1" x14ac:dyDescent="0.25">
      <c r="A81" s="41" t="s">
        <v>154</v>
      </c>
      <c r="B81" s="44">
        <v>26</v>
      </c>
      <c r="C81" s="44">
        <v>22.7</v>
      </c>
      <c r="D81" s="44">
        <v>5.0999999999999996</v>
      </c>
      <c r="E81" s="44">
        <v>5.4</v>
      </c>
      <c r="F81" s="44">
        <v>6.1</v>
      </c>
      <c r="G81" s="42">
        <v>259</v>
      </c>
      <c r="H81" s="42">
        <v>204</v>
      </c>
      <c r="I81" s="42">
        <v>33</v>
      </c>
      <c r="J81" s="42">
        <v>15</v>
      </c>
      <c r="K81" s="42">
        <v>7</v>
      </c>
    </row>
    <row r="82" spans="1:11" ht="15" customHeight="1" x14ac:dyDescent="0.25">
      <c r="A82" s="41" t="s">
        <v>155</v>
      </c>
      <c r="B82" s="44">
        <v>26.4</v>
      </c>
      <c r="C82" s="44">
        <v>24</v>
      </c>
      <c r="D82" s="44">
        <v>4.4000000000000004</v>
      </c>
      <c r="E82" s="44">
        <v>6.8</v>
      </c>
      <c r="F82" s="44">
        <v>6.8</v>
      </c>
      <c r="G82" s="42">
        <v>369</v>
      </c>
      <c r="H82" s="42">
        <v>292</v>
      </c>
      <c r="I82" s="42">
        <v>37</v>
      </c>
      <c r="J82" s="42">
        <v>26</v>
      </c>
      <c r="K82" s="42">
        <v>15</v>
      </c>
    </row>
    <row r="83" spans="1:11" ht="15" customHeight="1" x14ac:dyDescent="0.25">
      <c r="A83" s="35" t="s">
        <v>156</v>
      </c>
      <c r="B83" s="44">
        <v>40.799999999999997</v>
      </c>
      <c r="C83" s="44">
        <v>27.4</v>
      </c>
      <c r="D83" s="44">
        <v>9.9</v>
      </c>
      <c r="E83" s="44">
        <v>18.7</v>
      </c>
      <c r="F83" s="44">
        <v>6.7</v>
      </c>
      <c r="G83" s="42">
        <v>469</v>
      </c>
      <c r="H83" s="42">
        <v>272</v>
      </c>
      <c r="I83" s="42">
        <v>78</v>
      </c>
      <c r="J83" s="42">
        <v>109</v>
      </c>
      <c r="K83" s="42">
        <v>11</v>
      </c>
    </row>
    <row r="84" spans="1:11" ht="15" customHeight="1" x14ac:dyDescent="0.25">
      <c r="A84" s="41" t="s">
        <v>157</v>
      </c>
      <c r="B84" s="44">
        <v>51.8</v>
      </c>
      <c r="C84" s="44">
        <v>31.5</v>
      </c>
      <c r="D84" s="44">
        <v>10.5</v>
      </c>
      <c r="E84" s="44">
        <v>30.2</v>
      </c>
      <c r="F84" s="44">
        <v>8.6999999999999993</v>
      </c>
      <c r="G84" s="42">
        <v>349</v>
      </c>
      <c r="H84" s="42">
        <v>188</v>
      </c>
      <c r="I84" s="42">
        <v>52</v>
      </c>
      <c r="J84" s="42">
        <v>95</v>
      </c>
      <c r="K84" s="42">
        <v>13</v>
      </c>
    </row>
    <row r="85" spans="1:11" ht="15" customHeight="1" x14ac:dyDescent="0.25">
      <c r="A85" s="41" t="s">
        <v>158</v>
      </c>
      <c r="B85" s="38">
        <v>55</v>
      </c>
      <c r="C85" s="38">
        <v>33.4</v>
      </c>
      <c r="D85" s="38">
        <v>22.9</v>
      </c>
      <c r="E85" s="38">
        <v>17.899999999999999</v>
      </c>
      <c r="F85" s="38">
        <v>18</v>
      </c>
      <c r="G85" s="36">
        <v>705</v>
      </c>
      <c r="H85" s="36">
        <v>304</v>
      </c>
      <c r="I85" s="36">
        <v>216</v>
      </c>
      <c r="J85" s="36">
        <v>140</v>
      </c>
      <c r="K85" s="36">
        <v>45</v>
      </c>
    </row>
    <row r="86" spans="1:11" ht="24" customHeight="1" x14ac:dyDescent="0.25">
      <c r="A86" s="40" t="s">
        <v>159</v>
      </c>
      <c r="B86" s="47" t="s">
        <v>16</v>
      </c>
      <c r="C86" s="47" t="s">
        <v>16</v>
      </c>
      <c r="D86" s="47" t="s">
        <v>16</v>
      </c>
      <c r="E86" s="47" t="s">
        <v>16</v>
      </c>
      <c r="F86" s="47" t="s">
        <v>16</v>
      </c>
      <c r="G86" s="45" t="s">
        <v>16</v>
      </c>
      <c r="H86" s="45" t="s">
        <v>16</v>
      </c>
      <c r="I86" s="45" t="s">
        <v>16</v>
      </c>
      <c r="J86" s="45" t="s">
        <v>16</v>
      </c>
      <c r="K86" s="45" t="s">
        <v>16</v>
      </c>
    </row>
    <row r="87" spans="1:11" ht="15" customHeight="1" x14ac:dyDescent="0.25">
      <c r="A87" s="35" t="s">
        <v>160</v>
      </c>
      <c r="B87" s="44">
        <v>39.299999999999997</v>
      </c>
      <c r="C87" s="44">
        <v>26.4</v>
      </c>
      <c r="D87" s="44">
        <v>11.7</v>
      </c>
      <c r="E87" s="44">
        <v>20.3</v>
      </c>
      <c r="F87" s="44">
        <v>12</v>
      </c>
      <c r="G87" s="42">
        <v>1747</v>
      </c>
      <c r="H87" s="42">
        <v>991</v>
      </c>
      <c r="I87" s="42">
        <v>328</v>
      </c>
      <c r="J87" s="42">
        <v>356</v>
      </c>
      <c r="K87" s="42">
        <v>72</v>
      </c>
    </row>
    <row r="88" spans="1:11" ht="15" customHeight="1" x14ac:dyDescent="0.25">
      <c r="A88" s="39" t="s">
        <v>161</v>
      </c>
      <c r="B88" s="44">
        <v>43.3</v>
      </c>
      <c r="C88" s="44">
        <v>29.1</v>
      </c>
      <c r="D88" s="44">
        <v>13.1</v>
      </c>
      <c r="E88" s="44">
        <v>22.4</v>
      </c>
      <c r="F88" s="44">
        <v>15.3</v>
      </c>
      <c r="G88" s="42">
        <v>890</v>
      </c>
      <c r="H88" s="42">
        <v>489</v>
      </c>
      <c r="I88" s="42">
        <v>174</v>
      </c>
      <c r="J88" s="42">
        <v>180</v>
      </c>
      <c r="K88" s="42">
        <v>47</v>
      </c>
    </row>
    <row r="89" spans="1:11" ht="15" customHeight="1" x14ac:dyDescent="0.25">
      <c r="A89" s="39" t="s">
        <v>162</v>
      </c>
      <c r="B89" s="44">
        <v>36.5</v>
      </c>
      <c r="C89" s="44">
        <v>23.2</v>
      </c>
      <c r="D89" s="44">
        <v>11.3</v>
      </c>
      <c r="E89" s="44">
        <v>22.9</v>
      </c>
      <c r="F89" s="44">
        <v>8.3000000000000007</v>
      </c>
      <c r="G89" s="42">
        <v>634</v>
      </c>
      <c r="H89" s="42">
        <v>351</v>
      </c>
      <c r="I89" s="42">
        <v>120</v>
      </c>
      <c r="J89" s="42">
        <v>147</v>
      </c>
      <c r="K89" s="42">
        <v>16</v>
      </c>
    </row>
    <row r="90" spans="1:11" ht="15" customHeight="1" x14ac:dyDescent="0.25">
      <c r="A90" s="39" t="s">
        <v>163</v>
      </c>
      <c r="B90" s="44">
        <v>35</v>
      </c>
      <c r="C90" s="44">
        <v>27.8</v>
      </c>
      <c r="D90" s="44">
        <v>8.3000000000000007</v>
      </c>
      <c r="E90" s="44">
        <v>9.4</v>
      </c>
      <c r="F90" s="44">
        <v>9.3000000000000007</v>
      </c>
      <c r="G90" s="42">
        <v>219</v>
      </c>
      <c r="H90" s="42">
        <v>147</v>
      </c>
      <c r="I90" s="42">
        <v>34</v>
      </c>
      <c r="J90" s="42">
        <v>29</v>
      </c>
      <c r="K90" s="42">
        <v>9</v>
      </c>
    </row>
    <row r="91" spans="1:11" ht="15" customHeight="1" x14ac:dyDescent="0.25">
      <c r="A91" s="39" t="s">
        <v>164</v>
      </c>
      <c r="B91" s="44">
        <v>12.9</v>
      </c>
      <c r="C91" s="44">
        <v>12.2</v>
      </c>
      <c r="D91" s="44" t="s">
        <v>28</v>
      </c>
      <c r="E91" s="44" t="s">
        <v>28</v>
      </c>
      <c r="F91" s="44" t="s">
        <v>127</v>
      </c>
      <c r="G91" s="42">
        <v>4</v>
      </c>
      <c r="H91" s="42">
        <v>4</v>
      </c>
      <c r="I91" s="42" t="s">
        <v>28</v>
      </c>
      <c r="J91" s="42" t="s">
        <v>28</v>
      </c>
      <c r="K91" s="42" t="s">
        <v>127</v>
      </c>
    </row>
    <row r="92" spans="1:11" ht="15" customHeight="1" x14ac:dyDescent="0.25">
      <c r="A92" s="41" t="s">
        <v>165</v>
      </c>
      <c r="B92" s="44">
        <v>35.200000000000003</v>
      </c>
      <c r="C92" s="44">
        <v>29</v>
      </c>
      <c r="D92" s="44">
        <v>8.4</v>
      </c>
      <c r="E92" s="44">
        <v>5.2</v>
      </c>
      <c r="F92" s="44">
        <v>6.1</v>
      </c>
      <c r="G92" s="42">
        <v>501</v>
      </c>
      <c r="H92" s="42">
        <v>349</v>
      </c>
      <c r="I92" s="42">
        <v>96</v>
      </c>
      <c r="J92" s="42">
        <v>37</v>
      </c>
      <c r="K92" s="42">
        <v>19</v>
      </c>
    </row>
    <row r="93" spans="1:11" ht="15" customHeight="1" x14ac:dyDescent="0.25">
      <c r="A93" s="39" t="s">
        <v>166</v>
      </c>
      <c r="B93" s="44">
        <v>34.799999999999997</v>
      </c>
      <c r="C93" s="44">
        <v>32</v>
      </c>
      <c r="D93" s="44">
        <v>6.9</v>
      </c>
      <c r="E93" s="44">
        <v>11.6</v>
      </c>
      <c r="F93" s="44" t="s">
        <v>28</v>
      </c>
      <c r="G93" s="42">
        <v>30</v>
      </c>
      <c r="H93" s="42">
        <v>21</v>
      </c>
      <c r="I93" s="42">
        <v>4</v>
      </c>
      <c r="J93" s="42">
        <v>4</v>
      </c>
      <c r="K93" s="42" t="s">
        <v>28</v>
      </c>
    </row>
    <row r="94" spans="1:11" ht="15" customHeight="1" x14ac:dyDescent="0.25">
      <c r="A94" s="39" t="s">
        <v>167</v>
      </c>
      <c r="B94" s="44">
        <v>43</v>
      </c>
      <c r="C94" s="44">
        <v>33.6</v>
      </c>
      <c r="D94" s="44">
        <v>13.1</v>
      </c>
      <c r="E94" s="44" t="s">
        <v>28</v>
      </c>
      <c r="F94" s="44">
        <v>9.9</v>
      </c>
      <c r="G94" s="42">
        <v>169</v>
      </c>
      <c r="H94" s="42">
        <v>103</v>
      </c>
      <c r="I94" s="42">
        <v>40</v>
      </c>
      <c r="J94" s="42" t="s">
        <v>28</v>
      </c>
      <c r="K94" s="42">
        <v>8</v>
      </c>
    </row>
    <row r="95" spans="1:11" ht="15" customHeight="1" x14ac:dyDescent="0.25">
      <c r="A95" s="39" t="s">
        <v>168</v>
      </c>
      <c r="B95" s="44">
        <v>32</v>
      </c>
      <c r="C95" s="44">
        <v>27.1</v>
      </c>
      <c r="D95" s="44">
        <v>6.7</v>
      </c>
      <c r="E95" s="44">
        <v>2.9</v>
      </c>
      <c r="F95" s="44">
        <v>4.5</v>
      </c>
      <c r="G95" s="42">
        <v>302</v>
      </c>
      <c r="H95" s="42">
        <v>225</v>
      </c>
      <c r="I95" s="42">
        <v>52</v>
      </c>
      <c r="J95" s="42">
        <v>16</v>
      </c>
      <c r="K95" s="42">
        <v>10</v>
      </c>
    </row>
    <row r="96" spans="1:11" ht="45.95" customHeight="1" x14ac:dyDescent="0.25">
      <c r="A96" s="40" t="s">
        <v>169</v>
      </c>
      <c r="B96" s="47" t="s">
        <v>16</v>
      </c>
      <c r="C96" s="47" t="s">
        <v>16</v>
      </c>
      <c r="D96" s="47" t="s">
        <v>16</v>
      </c>
      <c r="E96" s="47" t="s">
        <v>16</v>
      </c>
      <c r="F96" s="47" t="s">
        <v>16</v>
      </c>
      <c r="G96" s="45" t="s">
        <v>16</v>
      </c>
      <c r="H96" s="45" t="s">
        <v>16</v>
      </c>
      <c r="I96" s="45" t="s">
        <v>16</v>
      </c>
      <c r="J96" s="45" t="s">
        <v>16</v>
      </c>
      <c r="K96" s="45" t="s">
        <v>16</v>
      </c>
    </row>
    <row r="97" spans="1:11" ht="15" customHeight="1" x14ac:dyDescent="0.25">
      <c r="A97" s="35" t="s">
        <v>170</v>
      </c>
      <c r="B97" s="44">
        <v>37.700000000000003</v>
      </c>
      <c r="C97" s="44">
        <v>27.7</v>
      </c>
      <c r="D97" s="44">
        <v>10.1</v>
      </c>
      <c r="E97" s="44">
        <v>14.6</v>
      </c>
      <c r="F97" s="44">
        <v>10.4</v>
      </c>
      <c r="G97" s="42">
        <v>1852</v>
      </c>
      <c r="H97" s="42">
        <v>1131</v>
      </c>
      <c r="I97" s="42">
        <v>339</v>
      </c>
      <c r="J97" s="42">
        <v>302</v>
      </c>
      <c r="K97" s="42">
        <v>80</v>
      </c>
    </row>
    <row r="98" spans="1:11" ht="15" customHeight="1" x14ac:dyDescent="0.25">
      <c r="A98" s="41" t="s">
        <v>171</v>
      </c>
      <c r="B98" s="44">
        <v>41.6</v>
      </c>
      <c r="C98" s="44">
        <v>23.8</v>
      </c>
      <c r="D98" s="44">
        <v>13.7</v>
      </c>
      <c r="E98" s="44">
        <v>24.7</v>
      </c>
      <c r="F98" s="44">
        <v>8</v>
      </c>
      <c r="G98" s="42">
        <v>343</v>
      </c>
      <c r="H98" s="42">
        <v>181</v>
      </c>
      <c r="I98" s="42">
        <v>71</v>
      </c>
      <c r="J98" s="42">
        <v>81</v>
      </c>
      <c r="K98" s="42">
        <v>10</v>
      </c>
    </row>
    <row r="99" spans="1:11" ht="15" customHeight="1" x14ac:dyDescent="0.25">
      <c r="A99" s="41" t="s">
        <v>172</v>
      </c>
      <c r="B99" s="44">
        <v>34.200000000000003</v>
      </c>
      <c r="C99" s="44">
        <v>21.2</v>
      </c>
      <c r="D99" s="44">
        <v>16.7</v>
      </c>
      <c r="E99" s="44">
        <v>10.5</v>
      </c>
      <c r="F99" s="44" t="s">
        <v>28</v>
      </c>
      <c r="G99" s="42">
        <v>27</v>
      </c>
      <c r="H99" s="42">
        <v>13</v>
      </c>
      <c r="I99" s="42">
        <v>9</v>
      </c>
      <c r="J99" s="42">
        <v>4</v>
      </c>
      <c r="K99" s="42" t="s">
        <v>28</v>
      </c>
    </row>
    <row r="100" spans="1:11" ht="15" customHeight="1" x14ac:dyDescent="0.25">
      <c r="A100" s="35" t="s">
        <v>173</v>
      </c>
      <c r="B100" s="44">
        <v>44.1</v>
      </c>
      <c r="C100" s="44">
        <v>33.4</v>
      </c>
      <c r="D100" s="44">
        <v>15</v>
      </c>
      <c r="E100" s="44">
        <v>18.5</v>
      </c>
      <c r="F100" s="44" t="s">
        <v>28</v>
      </c>
      <c r="G100" s="42">
        <v>27</v>
      </c>
      <c r="H100" s="42">
        <v>15</v>
      </c>
      <c r="I100" s="42">
        <v>5</v>
      </c>
      <c r="J100" s="42">
        <v>6</v>
      </c>
      <c r="K100" s="42" t="s">
        <v>28</v>
      </c>
    </row>
    <row r="101" spans="1:11" ht="33.950000000000003" customHeight="1" x14ac:dyDescent="0.25">
      <c r="A101" s="40" t="s">
        <v>174</v>
      </c>
      <c r="B101" s="47" t="s">
        <v>16</v>
      </c>
      <c r="C101" s="47" t="s">
        <v>16</v>
      </c>
      <c r="D101" s="47" t="s">
        <v>16</v>
      </c>
      <c r="E101" s="47" t="s">
        <v>16</v>
      </c>
      <c r="F101" s="47" t="s">
        <v>16</v>
      </c>
      <c r="G101" s="45" t="s">
        <v>16</v>
      </c>
      <c r="H101" s="45" t="s">
        <v>16</v>
      </c>
      <c r="I101" s="45" t="s">
        <v>16</v>
      </c>
      <c r="J101" s="45" t="s">
        <v>16</v>
      </c>
      <c r="K101" s="45" t="s">
        <v>16</v>
      </c>
    </row>
    <row r="102" spans="1:11" ht="15" customHeight="1" x14ac:dyDescent="0.25">
      <c r="A102" s="35" t="s">
        <v>170</v>
      </c>
      <c r="B102" s="44">
        <v>37.6</v>
      </c>
      <c r="C102" s="44">
        <v>27.4</v>
      </c>
      <c r="D102" s="44">
        <v>10.199999999999999</v>
      </c>
      <c r="E102" s="44">
        <v>14.5</v>
      </c>
      <c r="F102" s="44">
        <v>10.3</v>
      </c>
      <c r="G102" s="42">
        <v>1915</v>
      </c>
      <c r="H102" s="42">
        <v>1165</v>
      </c>
      <c r="I102" s="42">
        <v>354</v>
      </c>
      <c r="J102" s="42">
        <v>313</v>
      </c>
      <c r="K102" s="42">
        <v>82</v>
      </c>
    </row>
    <row r="103" spans="1:11" ht="15" customHeight="1" x14ac:dyDescent="0.25">
      <c r="A103" s="41" t="s">
        <v>171</v>
      </c>
      <c r="B103" s="44">
        <v>43.9</v>
      </c>
      <c r="C103" s="44">
        <v>25.1</v>
      </c>
      <c r="D103" s="44">
        <v>14.4</v>
      </c>
      <c r="E103" s="44">
        <v>27.4</v>
      </c>
      <c r="F103" s="44">
        <v>8.8000000000000007</v>
      </c>
      <c r="G103" s="42">
        <v>264</v>
      </c>
      <c r="H103" s="42">
        <v>138</v>
      </c>
      <c r="I103" s="42">
        <v>54</v>
      </c>
      <c r="J103" s="42">
        <v>65</v>
      </c>
      <c r="K103" s="42">
        <v>8</v>
      </c>
    </row>
    <row r="104" spans="1:11" ht="15" customHeight="1" x14ac:dyDescent="0.25">
      <c r="A104" s="41" t="s">
        <v>172</v>
      </c>
      <c r="B104" s="44">
        <v>33.1</v>
      </c>
      <c r="C104" s="44">
        <v>22.9</v>
      </c>
      <c r="D104" s="44">
        <v>10.7</v>
      </c>
      <c r="E104" s="44">
        <v>9.9</v>
      </c>
      <c r="F104" s="44" t="s">
        <v>28</v>
      </c>
      <c r="G104" s="42">
        <v>17</v>
      </c>
      <c r="H104" s="42">
        <v>10</v>
      </c>
      <c r="I104" s="42">
        <v>4</v>
      </c>
      <c r="J104" s="42">
        <v>3</v>
      </c>
      <c r="K104" s="42" t="s">
        <v>28</v>
      </c>
    </row>
    <row r="105" spans="1:11" ht="15" customHeight="1" x14ac:dyDescent="0.25">
      <c r="A105" s="35" t="s">
        <v>173</v>
      </c>
      <c r="B105" s="44">
        <v>42</v>
      </c>
      <c r="C105" s="44">
        <v>24.5</v>
      </c>
      <c r="D105" s="44">
        <v>14.8</v>
      </c>
      <c r="E105" s="44">
        <v>23.3</v>
      </c>
      <c r="F105" s="44" t="s">
        <v>28</v>
      </c>
      <c r="G105" s="42">
        <v>52</v>
      </c>
      <c r="H105" s="42">
        <v>26</v>
      </c>
      <c r="I105" s="42">
        <v>12</v>
      </c>
      <c r="J105" s="42">
        <v>13</v>
      </c>
      <c r="K105" s="42" t="s">
        <v>28</v>
      </c>
    </row>
    <row r="106" spans="1:11" ht="24" customHeight="1" x14ac:dyDescent="0.25">
      <c r="A106" s="40" t="s">
        <v>175</v>
      </c>
      <c r="B106" s="47" t="s">
        <v>16</v>
      </c>
      <c r="C106" s="47" t="s">
        <v>16</v>
      </c>
      <c r="D106" s="47" t="s">
        <v>16</v>
      </c>
      <c r="E106" s="47" t="s">
        <v>16</v>
      </c>
      <c r="F106" s="47" t="s">
        <v>16</v>
      </c>
      <c r="G106" s="45" t="s">
        <v>16</v>
      </c>
      <c r="H106" s="45" t="s">
        <v>16</v>
      </c>
      <c r="I106" s="45" t="s">
        <v>16</v>
      </c>
      <c r="J106" s="45" t="s">
        <v>16</v>
      </c>
      <c r="K106" s="45" t="s">
        <v>16</v>
      </c>
    </row>
    <row r="107" spans="1:11" ht="15" customHeight="1" x14ac:dyDescent="0.25">
      <c r="A107" s="35" t="s">
        <v>133</v>
      </c>
      <c r="B107" s="44">
        <v>41.1</v>
      </c>
      <c r="C107" s="44">
        <v>27.9</v>
      </c>
      <c r="D107" s="44">
        <v>11.7</v>
      </c>
      <c r="E107" s="44">
        <v>19.2</v>
      </c>
      <c r="F107" s="44">
        <v>10.6</v>
      </c>
      <c r="G107" s="42">
        <v>1527</v>
      </c>
      <c r="H107" s="42">
        <v>877</v>
      </c>
      <c r="I107" s="42">
        <v>306</v>
      </c>
      <c r="J107" s="42">
        <v>278</v>
      </c>
      <c r="K107" s="42">
        <v>65</v>
      </c>
    </row>
    <row r="108" spans="1:11" ht="15" customHeight="1" x14ac:dyDescent="0.25">
      <c r="A108" s="41" t="s">
        <v>176</v>
      </c>
      <c r="B108" s="44">
        <v>34.5</v>
      </c>
      <c r="C108" s="44">
        <v>26.8</v>
      </c>
      <c r="D108" s="44">
        <v>9.1</v>
      </c>
      <c r="E108" s="44">
        <v>12</v>
      </c>
      <c r="F108" s="44">
        <v>10.1</v>
      </c>
      <c r="G108" s="42">
        <v>429</v>
      </c>
      <c r="H108" s="42">
        <v>286</v>
      </c>
      <c r="I108" s="42">
        <v>67</v>
      </c>
      <c r="J108" s="42">
        <v>58</v>
      </c>
      <c r="K108" s="42">
        <v>17</v>
      </c>
    </row>
    <row r="109" spans="1:11" ht="15" customHeight="1" x14ac:dyDescent="0.25">
      <c r="A109" s="41" t="s">
        <v>177</v>
      </c>
      <c r="B109" s="44">
        <v>34.700000000000003</v>
      </c>
      <c r="C109" s="44">
        <v>26.9</v>
      </c>
      <c r="D109" s="44">
        <v>9.4</v>
      </c>
      <c r="E109" s="44">
        <v>12.7</v>
      </c>
      <c r="F109" s="44">
        <v>7.2</v>
      </c>
      <c r="G109" s="42">
        <v>107</v>
      </c>
      <c r="H109" s="42">
        <v>71</v>
      </c>
      <c r="I109" s="42">
        <v>17</v>
      </c>
      <c r="J109" s="42">
        <v>17</v>
      </c>
      <c r="K109" s="42">
        <v>2</v>
      </c>
    </row>
    <row r="110" spans="1:11" ht="15" customHeight="1" x14ac:dyDescent="0.25">
      <c r="A110" s="35" t="s">
        <v>178</v>
      </c>
      <c r="B110" s="44">
        <v>40.700000000000003</v>
      </c>
      <c r="C110" s="44">
        <v>26.8</v>
      </c>
      <c r="D110" s="44">
        <v>9.4</v>
      </c>
      <c r="E110" s="44">
        <v>13</v>
      </c>
      <c r="F110" s="44">
        <v>6.6</v>
      </c>
      <c r="G110" s="42">
        <v>112</v>
      </c>
      <c r="H110" s="42">
        <v>66</v>
      </c>
      <c r="I110" s="42">
        <v>20</v>
      </c>
      <c r="J110" s="42">
        <v>23</v>
      </c>
      <c r="K110" s="42">
        <v>3</v>
      </c>
    </row>
    <row r="111" spans="1:11" ht="15" customHeight="1" x14ac:dyDescent="0.25">
      <c r="A111" s="41" t="s">
        <v>179</v>
      </c>
      <c r="B111" s="44">
        <v>23.4</v>
      </c>
      <c r="C111" s="44">
        <v>17.7</v>
      </c>
      <c r="D111" s="44">
        <v>8.1</v>
      </c>
      <c r="E111" s="44">
        <v>7.5</v>
      </c>
      <c r="F111" s="44">
        <v>7.6</v>
      </c>
      <c r="G111" s="42">
        <v>67</v>
      </c>
      <c r="H111" s="42">
        <v>33</v>
      </c>
      <c r="I111" s="42">
        <v>14</v>
      </c>
      <c r="J111" s="42">
        <v>17</v>
      </c>
      <c r="K111" s="42">
        <v>4</v>
      </c>
    </row>
    <row r="112" spans="1:11" ht="15" customHeight="1" x14ac:dyDescent="0.25">
      <c r="A112" s="41" t="s">
        <v>180</v>
      </c>
      <c r="B112" s="38">
        <v>14.5</v>
      </c>
      <c r="C112" s="38">
        <v>15.8</v>
      </c>
      <c r="D112" s="38" t="s">
        <v>28</v>
      </c>
      <c r="E112" s="38" t="s">
        <v>28</v>
      </c>
      <c r="F112" s="38" t="s">
        <v>127</v>
      </c>
      <c r="G112" s="36">
        <v>6</v>
      </c>
      <c r="H112" s="36">
        <v>6</v>
      </c>
      <c r="I112" s="36" t="s">
        <v>28</v>
      </c>
      <c r="J112" s="36" t="s">
        <v>28</v>
      </c>
      <c r="K112" s="36" t="s">
        <v>127</v>
      </c>
    </row>
    <row r="113" spans="1:11" ht="24" customHeight="1" x14ac:dyDescent="0.25">
      <c r="A113" s="40" t="s">
        <v>181</v>
      </c>
      <c r="B113" s="47" t="s">
        <v>16</v>
      </c>
      <c r="C113" s="47" t="s">
        <v>16</v>
      </c>
      <c r="D113" s="47" t="s">
        <v>16</v>
      </c>
      <c r="E113" s="47" t="s">
        <v>16</v>
      </c>
      <c r="F113" s="47" t="s">
        <v>16</v>
      </c>
      <c r="G113" s="45" t="s">
        <v>16</v>
      </c>
      <c r="H113" s="45" t="s">
        <v>16</v>
      </c>
      <c r="I113" s="45" t="s">
        <v>16</v>
      </c>
      <c r="J113" s="45" t="s">
        <v>16</v>
      </c>
      <c r="K113" s="45" t="s">
        <v>16</v>
      </c>
    </row>
    <row r="114" spans="1:11" ht="15" customHeight="1" x14ac:dyDescent="0.25">
      <c r="A114" s="35" t="s">
        <v>182</v>
      </c>
      <c r="B114" s="44">
        <v>40</v>
      </c>
      <c r="C114" s="44">
        <v>28.3</v>
      </c>
      <c r="D114" s="44">
        <v>11.6</v>
      </c>
      <c r="E114" s="44">
        <v>14.2</v>
      </c>
      <c r="F114" s="44">
        <v>8.6999999999999993</v>
      </c>
      <c r="G114" s="42">
        <v>1160</v>
      </c>
      <c r="H114" s="42">
        <v>686</v>
      </c>
      <c r="I114" s="42">
        <v>238</v>
      </c>
      <c r="J114" s="42">
        <v>193</v>
      </c>
      <c r="K114" s="42">
        <v>43</v>
      </c>
    </row>
    <row r="115" spans="1:11" ht="15" customHeight="1" x14ac:dyDescent="0.25">
      <c r="A115" s="41" t="s">
        <v>183</v>
      </c>
      <c r="B115" s="44">
        <v>36.799999999999997</v>
      </c>
      <c r="C115" s="44">
        <v>24.4</v>
      </c>
      <c r="D115" s="44">
        <v>11.9</v>
      </c>
      <c r="E115" s="44">
        <v>14.4</v>
      </c>
      <c r="F115" s="44">
        <v>11.6</v>
      </c>
      <c r="G115" s="42">
        <v>535</v>
      </c>
      <c r="H115" s="42">
        <v>294</v>
      </c>
      <c r="I115" s="42">
        <v>115</v>
      </c>
      <c r="J115" s="42">
        <v>99</v>
      </c>
      <c r="K115" s="42">
        <v>28</v>
      </c>
    </row>
    <row r="116" spans="1:11" ht="15" customHeight="1" x14ac:dyDescent="0.25">
      <c r="A116" s="41" t="s">
        <v>184</v>
      </c>
      <c r="B116" s="44">
        <v>35.1</v>
      </c>
      <c r="C116" s="44">
        <v>25.9</v>
      </c>
      <c r="D116" s="44">
        <v>6.8</v>
      </c>
      <c r="E116" s="44" t="s">
        <v>28</v>
      </c>
      <c r="F116" s="44">
        <v>6.7</v>
      </c>
      <c r="G116" s="42">
        <v>208</v>
      </c>
      <c r="H116" s="42">
        <v>130</v>
      </c>
      <c r="I116" s="42">
        <v>26</v>
      </c>
      <c r="J116" s="42" t="s">
        <v>28</v>
      </c>
      <c r="K116" s="42">
        <v>6</v>
      </c>
    </row>
    <row r="117" spans="1:11" ht="15" customHeight="1" x14ac:dyDescent="0.25">
      <c r="A117" s="35" t="s">
        <v>185</v>
      </c>
      <c r="B117" s="44">
        <v>46.4</v>
      </c>
      <c r="C117" s="44">
        <v>28.7</v>
      </c>
      <c r="D117" s="44">
        <v>11.8</v>
      </c>
      <c r="E117" s="44">
        <v>35.5</v>
      </c>
      <c r="F117" s="44" t="s">
        <v>28</v>
      </c>
      <c r="G117" s="42">
        <v>134</v>
      </c>
      <c r="H117" s="42">
        <v>77</v>
      </c>
      <c r="I117" s="42">
        <v>25</v>
      </c>
      <c r="J117" s="42">
        <v>30</v>
      </c>
      <c r="K117" s="42" t="s">
        <v>28</v>
      </c>
    </row>
    <row r="118" spans="1:11" ht="15" customHeight="1" x14ac:dyDescent="0.25">
      <c r="A118" s="41" t="s">
        <v>186</v>
      </c>
      <c r="B118" s="44">
        <v>28.7</v>
      </c>
      <c r="C118" s="44">
        <v>25.5</v>
      </c>
      <c r="D118" s="44">
        <v>3.8</v>
      </c>
      <c r="E118" s="44">
        <v>10.4</v>
      </c>
      <c r="F118" s="44">
        <v>15.9</v>
      </c>
      <c r="G118" s="42">
        <v>126</v>
      </c>
      <c r="H118" s="42">
        <v>104</v>
      </c>
      <c r="I118" s="42">
        <v>9</v>
      </c>
      <c r="J118" s="42">
        <v>7</v>
      </c>
      <c r="K118" s="42" t="s">
        <v>28</v>
      </c>
    </row>
    <row r="119" spans="1:11" ht="15" customHeight="1" x14ac:dyDescent="0.25">
      <c r="A119" s="41" t="s">
        <v>187</v>
      </c>
      <c r="B119" s="38">
        <v>45.5</v>
      </c>
      <c r="C119" s="38">
        <v>43.4</v>
      </c>
      <c r="D119" s="38" t="s">
        <v>28</v>
      </c>
      <c r="E119" s="38">
        <v>8.1999999999999993</v>
      </c>
      <c r="F119" s="38" t="s">
        <v>28</v>
      </c>
      <c r="G119" s="36">
        <v>48</v>
      </c>
      <c r="H119" s="36">
        <v>30</v>
      </c>
      <c r="I119" s="36" t="s">
        <v>28</v>
      </c>
      <c r="J119" s="36">
        <v>4</v>
      </c>
      <c r="K119" s="36" t="s">
        <v>28</v>
      </c>
    </row>
    <row r="120" spans="1:11" ht="15" customHeight="1" x14ac:dyDescent="0.25">
      <c r="A120" s="41" t="s">
        <v>173</v>
      </c>
      <c r="B120" s="38">
        <v>47.2</v>
      </c>
      <c r="C120" s="38">
        <v>17</v>
      </c>
      <c r="D120" s="38">
        <v>6.3</v>
      </c>
      <c r="E120" s="38" t="s">
        <v>28</v>
      </c>
      <c r="F120" s="38" t="s">
        <v>28</v>
      </c>
      <c r="G120" s="36" t="s">
        <v>28</v>
      </c>
      <c r="H120" s="36">
        <v>7</v>
      </c>
      <c r="I120" s="36">
        <v>2</v>
      </c>
      <c r="J120" s="36" t="s">
        <v>28</v>
      </c>
      <c r="K120" s="36" t="s">
        <v>28</v>
      </c>
    </row>
    <row r="121" spans="1:11" ht="15" customHeight="1" x14ac:dyDescent="0.25">
      <c r="A121" s="41" t="s">
        <v>188</v>
      </c>
      <c r="B121" s="38">
        <v>31.4</v>
      </c>
      <c r="C121" s="38">
        <v>32</v>
      </c>
      <c r="D121" s="38" t="s">
        <v>28</v>
      </c>
      <c r="E121" s="38" t="s">
        <v>28</v>
      </c>
      <c r="F121" s="38" t="s">
        <v>28</v>
      </c>
      <c r="G121" s="36">
        <v>14</v>
      </c>
      <c r="H121" s="36">
        <v>11</v>
      </c>
      <c r="I121" s="36" t="s">
        <v>28</v>
      </c>
      <c r="J121" s="36" t="s">
        <v>28</v>
      </c>
      <c r="K121" s="36" t="s">
        <v>28</v>
      </c>
    </row>
    <row r="122" spans="1:11" ht="24" customHeight="1" x14ac:dyDescent="0.25">
      <c r="A122" s="40" t="s">
        <v>189</v>
      </c>
      <c r="B122" s="47" t="s">
        <v>16</v>
      </c>
      <c r="C122" s="47" t="s">
        <v>16</v>
      </c>
      <c r="D122" s="47" t="s">
        <v>16</v>
      </c>
      <c r="E122" s="47" t="s">
        <v>16</v>
      </c>
      <c r="F122" s="47" t="s">
        <v>16</v>
      </c>
      <c r="G122" s="45" t="s">
        <v>16</v>
      </c>
      <c r="H122" s="45" t="s">
        <v>16</v>
      </c>
      <c r="I122" s="45" t="s">
        <v>16</v>
      </c>
      <c r="J122" s="45" t="s">
        <v>16</v>
      </c>
      <c r="K122" s="45" t="s">
        <v>16</v>
      </c>
    </row>
    <row r="123" spans="1:11" ht="15" customHeight="1" x14ac:dyDescent="0.25">
      <c r="A123" s="41" t="s">
        <v>190</v>
      </c>
      <c r="B123" s="44">
        <v>30.8</v>
      </c>
      <c r="C123" s="44">
        <v>21.9</v>
      </c>
      <c r="D123" s="44">
        <v>7.7</v>
      </c>
      <c r="E123" s="44">
        <v>20.9</v>
      </c>
      <c r="F123" s="44">
        <v>9</v>
      </c>
      <c r="G123" s="42">
        <v>241</v>
      </c>
      <c r="H123" s="42">
        <v>155</v>
      </c>
      <c r="I123" s="42">
        <v>36</v>
      </c>
      <c r="J123" s="42">
        <v>41</v>
      </c>
      <c r="K123" s="42">
        <v>9</v>
      </c>
    </row>
    <row r="124" spans="1:11" ht="15" customHeight="1" x14ac:dyDescent="0.25">
      <c r="A124" s="35" t="s">
        <v>191</v>
      </c>
      <c r="B124" s="38">
        <v>43</v>
      </c>
      <c r="C124" s="38">
        <v>31.3</v>
      </c>
      <c r="D124" s="38">
        <v>9.6999999999999993</v>
      </c>
      <c r="E124" s="38">
        <v>16.399999999999999</v>
      </c>
      <c r="F124" s="38">
        <v>10.3</v>
      </c>
      <c r="G124" s="36">
        <v>850</v>
      </c>
      <c r="H124" s="36">
        <v>536</v>
      </c>
      <c r="I124" s="36">
        <v>130</v>
      </c>
      <c r="J124" s="36">
        <v>147</v>
      </c>
      <c r="K124" s="36">
        <v>38</v>
      </c>
    </row>
    <row r="125" spans="1:11" ht="15" customHeight="1" x14ac:dyDescent="0.25">
      <c r="A125" s="35" t="s">
        <v>192</v>
      </c>
      <c r="B125" s="44">
        <v>36.299999999999997</v>
      </c>
      <c r="C125" s="44">
        <v>25.2</v>
      </c>
      <c r="D125" s="44">
        <v>11</v>
      </c>
      <c r="E125" s="44">
        <v>11.5</v>
      </c>
      <c r="F125" s="44">
        <v>12.7</v>
      </c>
      <c r="G125" s="42">
        <v>582</v>
      </c>
      <c r="H125" s="42">
        <v>335</v>
      </c>
      <c r="I125" s="42">
        <v>125</v>
      </c>
      <c r="J125" s="42">
        <v>89</v>
      </c>
      <c r="K125" s="42">
        <v>33</v>
      </c>
    </row>
    <row r="126" spans="1:11" ht="15" customHeight="1" x14ac:dyDescent="0.25">
      <c r="A126" s="41" t="s">
        <v>193</v>
      </c>
      <c r="B126" s="44">
        <v>40.700000000000003</v>
      </c>
      <c r="C126" s="44">
        <v>26</v>
      </c>
      <c r="D126" s="44">
        <v>15</v>
      </c>
      <c r="E126" s="44">
        <v>25.8</v>
      </c>
      <c r="F126" s="44" t="s">
        <v>28</v>
      </c>
      <c r="G126" s="42">
        <v>114</v>
      </c>
      <c r="H126" s="42">
        <v>50</v>
      </c>
      <c r="I126" s="42">
        <v>29</v>
      </c>
      <c r="J126" s="42">
        <v>32</v>
      </c>
      <c r="K126" s="42" t="s">
        <v>28</v>
      </c>
    </row>
    <row r="127" spans="1:11" ht="27.95" customHeight="1" x14ac:dyDescent="0.25">
      <c r="A127" s="41" t="s">
        <v>194</v>
      </c>
      <c r="B127" s="44">
        <v>67.3</v>
      </c>
      <c r="C127" s="44">
        <v>43.7</v>
      </c>
      <c r="D127" s="44">
        <v>21.7</v>
      </c>
      <c r="E127" s="44">
        <v>53.3</v>
      </c>
      <c r="F127" s="44" t="s">
        <v>28</v>
      </c>
      <c r="G127" s="42">
        <v>41</v>
      </c>
      <c r="H127" s="42">
        <v>22</v>
      </c>
      <c r="I127" s="42">
        <v>9</v>
      </c>
      <c r="J127" s="42">
        <v>10</v>
      </c>
      <c r="K127" s="42" t="s">
        <v>28</v>
      </c>
    </row>
    <row r="128" spans="1:11" ht="27.95" customHeight="1" x14ac:dyDescent="0.25">
      <c r="A128" s="41" t="s">
        <v>195</v>
      </c>
      <c r="B128" s="44">
        <v>37.200000000000003</v>
      </c>
      <c r="C128" s="44">
        <v>26</v>
      </c>
      <c r="D128" s="44">
        <v>12.6</v>
      </c>
      <c r="E128" s="44">
        <v>16.600000000000001</v>
      </c>
      <c r="F128" s="44">
        <v>5.6</v>
      </c>
      <c r="G128" s="42">
        <v>368</v>
      </c>
      <c r="H128" s="42">
        <v>214</v>
      </c>
      <c r="I128" s="42">
        <v>83</v>
      </c>
      <c r="J128" s="42">
        <v>65</v>
      </c>
      <c r="K128" s="42">
        <v>6</v>
      </c>
    </row>
    <row r="129" spans="1:11" ht="15" customHeight="1" x14ac:dyDescent="0.25">
      <c r="A129" s="41" t="s">
        <v>196</v>
      </c>
      <c r="B129" s="38">
        <v>28.2</v>
      </c>
      <c r="C129" s="38">
        <v>18.3</v>
      </c>
      <c r="D129" s="38">
        <v>15.9</v>
      </c>
      <c r="E129" s="38">
        <v>7.4</v>
      </c>
      <c r="F129" s="38" t="s">
        <v>28</v>
      </c>
      <c r="G129" s="36">
        <v>24</v>
      </c>
      <c r="H129" s="36">
        <v>12</v>
      </c>
      <c r="I129" s="36">
        <v>9</v>
      </c>
      <c r="J129" s="36">
        <v>2</v>
      </c>
      <c r="K129" s="36" t="s">
        <v>28</v>
      </c>
    </row>
    <row r="130" spans="1:11" ht="15" customHeight="1" x14ac:dyDescent="0.25">
      <c r="A130" s="41" t="s">
        <v>173</v>
      </c>
      <c r="B130" s="38">
        <v>33.700000000000003</v>
      </c>
      <c r="C130" s="38">
        <v>18.3</v>
      </c>
      <c r="D130" s="38" t="s">
        <v>28</v>
      </c>
      <c r="E130" s="38" t="s">
        <v>28</v>
      </c>
      <c r="F130" s="38" t="s">
        <v>28</v>
      </c>
      <c r="G130" s="36">
        <v>18</v>
      </c>
      <c r="H130" s="36">
        <v>8</v>
      </c>
      <c r="I130" s="36" t="s">
        <v>28</v>
      </c>
      <c r="J130" s="36" t="s">
        <v>28</v>
      </c>
      <c r="K130" s="36" t="s">
        <v>28</v>
      </c>
    </row>
    <row r="131" spans="1:11" ht="15" customHeight="1" x14ac:dyDescent="0.25">
      <c r="A131" s="41" t="s">
        <v>188</v>
      </c>
      <c r="B131" s="38">
        <v>24.1</v>
      </c>
      <c r="C131" s="38" t="s">
        <v>28</v>
      </c>
      <c r="D131" s="38" t="s">
        <v>28</v>
      </c>
      <c r="E131" s="38" t="s">
        <v>28</v>
      </c>
      <c r="F131" s="38" t="s">
        <v>28</v>
      </c>
      <c r="G131" s="36">
        <v>10</v>
      </c>
      <c r="H131" s="36" t="s">
        <v>28</v>
      </c>
      <c r="I131" s="36" t="s">
        <v>28</v>
      </c>
      <c r="J131" s="36" t="s">
        <v>28</v>
      </c>
      <c r="K131" s="36" t="s">
        <v>28</v>
      </c>
    </row>
    <row r="132" spans="1:11" ht="24" customHeight="1" x14ac:dyDescent="0.25">
      <c r="A132" s="40" t="s">
        <v>197</v>
      </c>
      <c r="B132" s="47" t="s">
        <v>16</v>
      </c>
      <c r="C132" s="47" t="s">
        <v>16</v>
      </c>
      <c r="D132" s="47" t="s">
        <v>16</v>
      </c>
      <c r="E132" s="47" t="s">
        <v>16</v>
      </c>
      <c r="F132" s="47" t="s">
        <v>16</v>
      </c>
      <c r="G132" s="45" t="s">
        <v>16</v>
      </c>
      <c r="H132" s="45" t="s">
        <v>16</v>
      </c>
      <c r="I132" s="45" t="s">
        <v>16</v>
      </c>
      <c r="J132" s="45" t="s">
        <v>16</v>
      </c>
      <c r="K132" s="45" t="s">
        <v>16</v>
      </c>
    </row>
    <row r="133" spans="1:11" ht="15" customHeight="1" x14ac:dyDescent="0.25">
      <c r="A133" s="35" t="s">
        <v>198</v>
      </c>
      <c r="B133" s="44" t="s">
        <v>16</v>
      </c>
      <c r="C133" s="44" t="s">
        <v>16</v>
      </c>
      <c r="D133" s="44" t="s">
        <v>16</v>
      </c>
      <c r="E133" s="44" t="s">
        <v>16</v>
      </c>
      <c r="F133" s="44" t="s">
        <v>16</v>
      </c>
      <c r="G133" s="42" t="s">
        <v>16</v>
      </c>
      <c r="H133" s="42" t="s">
        <v>16</v>
      </c>
      <c r="I133" s="42" t="s">
        <v>16</v>
      </c>
      <c r="J133" s="42" t="s">
        <v>16</v>
      </c>
      <c r="K133" s="42" t="s">
        <v>16</v>
      </c>
    </row>
    <row r="134" spans="1:11" ht="15" customHeight="1" x14ac:dyDescent="0.25">
      <c r="A134" s="39" t="s">
        <v>199</v>
      </c>
      <c r="B134" s="44">
        <v>40.6</v>
      </c>
      <c r="C134" s="44">
        <v>28.7</v>
      </c>
      <c r="D134" s="44">
        <v>11.6</v>
      </c>
      <c r="E134" s="44">
        <v>14.5</v>
      </c>
      <c r="F134" s="44">
        <v>11.6</v>
      </c>
      <c r="G134" s="42">
        <v>1455</v>
      </c>
      <c r="H134" s="42">
        <v>860</v>
      </c>
      <c r="I134" s="42">
        <v>292</v>
      </c>
      <c r="J134" s="42">
        <v>236</v>
      </c>
      <c r="K134" s="42">
        <v>67</v>
      </c>
    </row>
    <row r="135" spans="1:11" ht="15" customHeight="1" x14ac:dyDescent="0.25">
      <c r="A135" s="39" t="s">
        <v>200</v>
      </c>
      <c r="B135" s="44">
        <v>33.200000000000003</v>
      </c>
      <c r="C135" s="44">
        <v>23.3</v>
      </c>
      <c r="D135" s="44">
        <v>7.7</v>
      </c>
      <c r="E135" s="44">
        <v>21.9</v>
      </c>
      <c r="F135" s="44">
        <v>7.7</v>
      </c>
      <c r="G135" s="42">
        <v>481</v>
      </c>
      <c r="H135" s="42">
        <v>291</v>
      </c>
      <c r="I135" s="42">
        <v>68</v>
      </c>
      <c r="J135" s="42">
        <v>105</v>
      </c>
      <c r="K135" s="42">
        <v>18</v>
      </c>
    </row>
    <row r="136" spans="1:11" ht="15" customHeight="1" x14ac:dyDescent="0.25">
      <c r="A136" s="39" t="s">
        <v>201</v>
      </c>
      <c r="B136" s="44">
        <v>37.200000000000003</v>
      </c>
      <c r="C136" s="44">
        <v>26.8</v>
      </c>
      <c r="D136" s="44">
        <v>11.5</v>
      </c>
      <c r="E136" s="44">
        <v>14.4</v>
      </c>
      <c r="F136" s="44">
        <v>6.1</v>
      </c>
      <c r="G136" s="42">
        <v>312</v>
      </c>
      <c r="H136" s="42">
        <v>189</v>
      </c>
      <c r="I136" s="42">
        <v>64</v>
      </c>
      <c r="J136" s="42">
        <v>53</v>
      </c>
      <c r="K136" s="42">
        <v>6</v>
      </c>
    </row>
    <row r="137" spans="1:11" ht="15" customHeight="1" x14ac:dyDescent="0.25">
      <c r="A137" s="41" t="s">
        <v>202</v>
      </c>
      <c r="B137" s="44">
        <v>42</v>
      </c>
      <c r="C137" s="44">
        <v>28.6</v>
      </c>
      <c r="D137" s="44">
        <v>12.3</v>
      </c>
      <c r="E137" s="44">
        <v>14.4</v>
      </c>
      <c r="F137" s="44">
        <v>15.8</v>
      </c>
      <c r="G137" s="42">
        <v>602</v>
      </c>
      <c r="H137" s="42">
        <v>332</v>
      </c>
      <c r="I137" s="42">
        <v>119</v>
      </c>
      <c r="J137" s="42">
        <v>108</v>
      </c>
      <c r="K137" s="42">
        <v>43</v>
      </c>
    </row>
    <row r="138" spans="1:11" ht="45.95" customHeight="1" x14ac:dyDescent="0.25">
      <c r="A138" s="40" t="s">
        <v>203</v>
      </c>
      <c r="B138" s="47" t="s">
        <v>16</v>
      </c>
      <c r="C138" s="47" t="s">
        <v>16</v>
      </c>
      <c r="D138" s="47" t="s">
        <v>16</v>
      </c>
      <c r="E138" s="47" t="s">
        <v>16</v>
      </c>
      <c r="F138" s="47" t="s">
        <v>16</v>
      </c>
      <c r="G138" s="45" t="s">
        <v>16</v>
      </c>
      <c r="H138" s="45" t="s">
        <v>16</v>
      </c>
      <c r="I138" s="45" t="s">
        <v>16</v>
      </c>
      <c r="J138" s="45" t="s">
        <v>16</v>
      </c>
      <c r="K138" s="45" t="s">
        <v>16</v>
      </c>
    </row>
    <row r="139" spans="1:11" ht="15" customHeight="1" x14ac:dyDescent="0.25">
      <c r="A139" s="35" t="s">
        <v>204</v>
      </c>
      <c r="B139" s="44">
        <v>39.700000000000003</v>
      </c>
      <c r="C139" s="44">
        <v>28.6</v>
      </c>
      <c r="D139" s="44">
        <v>10.8</v>
      </c>
      <c r="E139" s="44">
        <v>14.8</v>
      </c>
      <c r="F139" s="44">
        <v>12.5</v>
      </c>
      <c r="G139" s="42">
        <v>1230</v>
      </c>
      <c r="H139" s="42">
        <v>732</v>
      </c>
      <c r="I139" s="42">
        <v>223</v>
      </c>
      <c r="J139" s="42">
        <v>218</v>
      </c>
      <c r="K139" s="42">
        <v>58</v>
      </c>
    </row>
    <row r="140" spans="1:11" ht="15" customHeight="1" x14ac:dyDescent="0.25">
      <c r="A140" s="39" t="s">
        <v>205</v>
      </c>
      <c r="B140" s="44">
        <v>46.3</v>
      </c>
      <c r="C140" s="44">
        <v>33.1</v>
      </c>
      <c r="D140" s="44">
        <v>10.6</v>
      </c>
      <c r="E140" s="44">
        <v>16.600000000000001</v>
      </c>
      <c r="F140" s="44">
        <v>8.8000000000000007</v>
      </c>
      <c r="G140" s="42">
        <v>468</v>
      </c>
      <c r="H140" s="42">
        <v>276</v>
      </c>
      <c r="I140" s="42">
        <v>77</v>
      </c>
      <c r="J140" s="42">
        <v>99</v>
      </c>
      <c r="K140" s="42">
        <v>15</v>
      </c>
    </row>
    <row r="141" spans="1:11" ht="15" customHeight="1" x14ac:dyDescent="0.25">
      <c r="A141" s="39" t="s">
        <v>206</v>
      </c>
      <c r="B141" s="44">
        <v>50.2</v>
      </c>
      <c r="C141" s="44">
        <v>32</v>
      </c>
      <c r="D141" s="44">
        <v>24.7</v>
      </c>
      <c r="E141" s="44">
        <v>24</v>
      </c>
      <c r="F141" s="44" t="s">
        <v>28</v>
      </c>
      <c r="G141" s="42">
        <v>70</v>
      </c>
      <c r="H141" s="42">
        <v>28</v>
      </c>
      <c r="I141" s="42" t="s">
        <v>28</v>
      </c>
      <c r="J141" s="42" t="s">
        <v>28</v>
      </c>
      <c r="K141" s="42" t="s">
        <v>28</v>
      </c>
    </row>
    <row r="142" spans="1:11" ht="15" customHeight="1" x14ac:dyDescent="0.25">
      <c r="A142" s="39" t="s">
        <v>207</v>
      </c>
      <c r="B142" s="44">
        <v>42.2</v>
      </c>
      <c r="C142" s="44">
        <v>31.2</v>
      </c>
      <c r="D142" s="44">
        <v>11.2</v>
      </c>
      <c r="E142" s="44">
        <v>12.2</v>
      </c>
      <c r="F142" s="44">
        <v>16.600000000000001</v>
      </c>
      <c r="G142" s="42">
        <v>681</v>
      </c>
      <c r="H142" s="42">
        <v>413</v>
      </c>
      <c r="I142" s="42">
        <v>125</v>
      </c>
      <c r="J142" s="42">
        <v>102</v>
      </c>
      <c r="K142" s="42">
        <v>41</v>
      </c>
    </row>
    <row r="143" spans="1:11" ht="15" customHeight="1" x14ac:dyDescent="0.25">
      <c r="A143" s="39" t="s">
        <v>208</v>
      </c>
      <c r="B143" s="38">
        <v>38.1</v>
      </c>
      <c r="C143" s="38">
        <v>23.5</v>
      </c>
      <c r="D143" s="38">
        <v>10.5</v>
      </c>
      <c r="E143" s="38">
        <v>18.399999999999999</v>
      </c>
      <c r="F143" s="38">
        <v>11.9</v>
      </c>
      <c r="G143" s="36">
        <v>129</v>
      </c>
      <c r="H143" s="36">
        <v>64</v>
      </c>
      <c r="I143" s="36">
        <v>24</v>
      </c>
      <c r="J143" s="36">
        <v>35</v>
      </c>
      <c r="K143" s="36">
        <v>6</v>
      </c>
    </row>
    <row r="144" spans="1:11" ht="15" customHeight="1" x14ac:dyDescent="0.25">
      <c r="A144" s="39" t="s">
        <v>209</v>
      </c>
      <c r="B144" s="38">
        <v>40.1</v>
      </c>
      <c r="C144" s="38">
        <v>29.6</v>
      </c>
      <c r="D144" s="38">
        <v>10.199999999999999</v>
      </c>
      <c r="E144" s="38">
        <v>16.3</v>
      </c>
      <c r="F144" s="38">
        <v>10.8</v>
      </c>
      <c r="G144" s="36">
        <v>644</v>
      </c>
      <c r="H144" s="36">
        <v>390</v>
      </c>
      <c r="I144" s="36">
        <v>104</v>
      </c>
      <c r="J144" s="36">
        <v>121</v>
      </c>
      <c r="K144" s="36">
        <v>29</v>
      </c>
    </row>
    <row r="145" spans="1:11" ht="15" customHeight="1" x14ac:dyDescent="0.25">
      <c r="A145" s="39" t="s">
        <v>210</v>
      </c>
      <c r="B145" s="38">
        <v>41.7</v>
      </c>
      <c r="C145" s="38">
        <v>29.8</v>
      </c>
      <c r="D145" s="38">
        <v>10.6</v>
      </c>
      <c r="E145" s="38">
        <v>16.5</v>
      </c>
      <c r="F145" s="38">
        <v>13.3</v>
      </c>
      <c r="G145" s="36">
        <v>387</v>
      </c>
      <c r="H145" s="36">
        <v>225</v>
      </c>
      <c r="I145" s="36">
        <v>67</v>
      </c>
      <c r="J145" s="36">
        <v>74</v>
      </c>
      <c r="K145" s="36">
        <v>22</v>
      </c>
    </row>
    <row r="146" spans="1:11" ht="15" customHeight="1" x14ac:dyDescent="0.25">
      <c r="A146" s="39" t="s">
        <v>211</v>
      </c>
      <c r="B146" s="38">
        <v>41.2</v>
      </c>
      <c r="C146" s="38">
        <v>28.8</v>
      </c>
      <c r="D146" s="38">
        <v>11</v>
      </c>
      <c r="E146" s="38">
        <v>15.1</v>
      </c>
      <c r="F146" s="38">
        <v>13.7</v>
      </c>
      <c r="G146" s="36">
        <v>842</v>
      </c>
      <c r="H146" s="36">
        <v>487</v>
      </c>
      <c r="I146" s="36">
        <v>153</v>
      </c>
      <c r="J146" s="36">
        <v>158</v>
      </c>
      <c r="K146" s="36">
        <v>44</v>
      </c>
    </row>
    <row r="147" spans="1:11" ht="15" customHeight="1" x14ac:dyDescent="0.25">
      <c r="A147" s="39" t="s">
        <v>212</v>
      </c>
      <c r="B147" s="38">
        <v>42</v>
      </c>
      <c r="C147" s="38">
        <v>29.8</v>
      </c>
      <c r="D147" s="38">
        <v>10.8</v>
      </c>
      <c r="E147" s="38">
        <v>15</v>
      </c>
      <c r="F147" s="38">
        <v>14.9</v>
      </c>
      <c r="G147" s="36">
        <v>810</v>
      </c>
      <c r="H147" s="36">
        <v>477</v>
      </c>
      <c r="I147" s="36">
        <v>140</v>
      </c>
      <c r="J147" s="36">
        <v>146</v>
      </c>
      <c r="K147" s="36">
        <v>47</v>
      </c>
    </row>
    <row r="148" spans="1:11" ht="15" customHeight="1" x14ac:dyDescent="0.25">
      <c r="A148" s="39" t="s">
        <v>213</v>
      </c>
      <c r="B148" s="38">
        <v>44.5</v>
      </c>
      <c r="C148" s="38">
        <v>30.7</v>
      </c>
      <c r="D148" s="38">
        <v>10.4</v>
      </c>
      <c r="E148" s="38">
        <v>18</v>
      </c>
      <c r="F148" s="38">
        <v>18.3</v>
      </c>
      <c r="G148" s="36">
        <v>551</v>
      </c>
      <c r="H148" s="36">
        <v>307</v>
      </c>
      <c r="I148" s="36">
        <v>87</v>
      </c>
      <c r="J148" s="36">
        <v>117</v>
      </c>
      <c r="K148" s="36">
        <v>39</v>
      </c>
    </row>
    <row r="149" spans="1:11" ht="15" customHeight="1" x14ac:dyDescent="0.25">
      <c r="A149" s="39" t="s">
        <v>214</v>
      </c>
      <c r="B149" s="38">
        <v>48.8</v>
      </c>
      <c r="C149" s="38">
        <v>31.4</v>
      </c>
      <c r="D149" s="38">
        <v>12.4</v>
      </c>
      <c r="E149" s="38">
        <v>19.899999999999999</v>
      </c>
      <c r="F149" s="38">
        <v>21.9</v>
      </c>
      <c r="G149" s="36">
        <v>515</v>
      </c>
      <c r="H149" s="36">
        <v>273</v>
      </c>
      <c r="I149" s="36">
        <v>93</v>
      </c>
      <c r="J149" s="36">
        <v>112</v>
      </c>
      <c r="K149" s="36">
        <v>38</v>
      </c>
    </row>
    <row r="150" spans="1:11" ht="15" customHeight="1" x14ac:dyDescent="0.25">
      <c r="A150" s="39" t="s">
        <v>215</v>
      </c>
      <c r="B150" s="38">
        <v>45.6</v>
      </c>
      <c r="C150" s="38">
        <v>30</v>
      </c>
      <c r="D150" s="38">
        <v>8.6999999999999993</v>
      </c>
      <c r="E150" s="38">
        <v>23.9</v>
      </c>
      <c r="F150" s="38">
        <v>20.399999999999999</v>
      </c>
      <c r="G150" s="36">
        <v>269</v>
      </c>
      <c r="H150" s="36">
        <v>142</v>
      </c>
      <c r="I150" s="36">
        <v>34</v>
      </c>
      <c r="J150" s="36">
        <v>75</v>
      </c>
      <c r="K150" s="36">
        <v>18</v>
      </c>
    </row>
    <row r="151" spans="1:11" ht="15" customHeight="1" x14ac:dyDescent="0.25">
      <c r="A151" s="39" t="s">
        <v>216</v>
      </c>
      <c r="B151" s="38">
        <v>43</v>
      </c>
      <c r="C151" s="38">
        <v>30.3</v>
      </c>
      <c r="D151" s="38">
        <v>11.9</v>
      </c>
      <c r="E151" s="38">
        <v>12.2</v>
      </c>
      <c r="F151" s="38">
        <v>17</v>
      </c>
      <c r="G151" s="36">
        <v>569</v>
      </c>
      <c r="H151" s="36">
        <v>326</v>
      </c>
      <c r="I151" s="36">
        <v>113</v>
      </c>
      <c r="J151" s="36">
        <v>89</v>
      </c>
      <c r="K151" s="36">
        <v>41</v>
      </c>
    </row>
    <row r="152" spans="1:11" ht="15" customHeight="1" x14ac:dyDescent="0.25">
      <c r="A152" s="39" t="s">
        <v>217</v>
      </c>
      <c r="B152" s="38">
        <v>53.4</v>
      </c>
      <c r="C152" s="38">
        <v>26.4</v>
      </c>
      <c r="D152" s="38">
        <v>11.4</v>
      </c>
      <c r="E152" s="38">
        <v>36.700000000000003</v>
      </c>
      <c r="F152" s="38" t="s">
        <v>28</v>
      </c>
      <c r="G152" s="36">
        <v>151</v>
      </c>
      <c r="H152" s="36">
        <v>57</v>
      </c>
      <c r="I152" s="36">
        <v>20</v>
      </c>
      <c r="J152" s="36" t="s">
        <v>28</v>
      </c>
      <c r="K152" s="36" t="s">
        <v>28</v>
      </c>
    </row>
    <row r="153" spans="1:11" ht="15" customHeight="1" x14ac:dyDescent="0.25">
      <c r="A153" s="39" t="s">
        <v>173</v>
      </c>
      <c r="B153" s="38">
        <v>24.5</v>
      </c>
      <c r="C153" s="38">
        <v>22.1</v>
      </c>
      <c r="D153" s="38">
        <v>9.6999999999999993</v>
      </c>
      <c r="E153" s="38">
        <v>3.3</v>
      </c>
      <c r="F153" s="38" t="s">
        <v>28</v>
      </c>
      <c r="G153" s="36">
        <v>14</v>
      </c>
      <c r="H153" s="36">
        <v>9</v>
      </c>
      <c r="I153" s="36" t="s">
        <v>28</v>
      </c>
      <c r="J153" s="36">
        <v>1</v>
      </c>
      <c r="K153" s="36" t="s">
        <v>28</v>
      </c>
    </row>
    <row r="154" spans="1:11" ht="15" customHeight="1" x14ac:dyDescent="0.25">
      <c r="A154" s="41" t="s">
        <v>218</v>
      </c>
      <c r="B154" s="38">
        <v>35.9</v>
      </c>
      <c r="C154" s="38">
        <v>25.1</v>
      </c>
      <c r="D154" s="38">
        <v>10.5</v>
      </c>
      <c r="E154" s="38">
        <v>17.600000000000001</v>
      </c>
      <c r="F154" s="38">
        <v>7.2</v>
      </c>
      <c r="G154" s="36">
        <v>859</v>
      </c>
      <c r="H154" s="36">
        <v>513</v>
      </c>
      <c r="I154" s="36">
        <v>171</v>
      </c>
      <c r="J154" s="36">
        <v>152</v>
      </c>
      <c r="K154" s="36">
        <v>24</v>
      </c>
    </row>
    <row r="155" spans="1:11" ht="15" customHeight="1" x14ac:dyDescent="0.25">
      <c r="A155" s="41" t="s">
        <v>219</v>
      </c>
      <c r="B155" s="38">
        <v>41.7</v>
      </c>
      <c r="C155" s="38">
        <v>27.3</v>
      </c>
      <c r="D155" s="38">
        <v>11.5</v>
      </c>
      <c r="E155" s="38">
        <v>17.100000000000001</v>
      </c>
      <c r="F155" s="38">
        <v>8.3000000000000007</v>
      </c>
      <c r="G155" s="36">
        <v>159</v>
      </c>
      <c r="H155" s="36">
        <v>95</v>
      </c>
      <c r="I155" s="36">
        <v>30</v>
      </c>
      <c r="J155" s="36">
        <v>24</v>
      </c>
      <c r="K155" s="36">
        <v>10</v>
      </c>
    </row>
    <row r="156" spans="1:11" ht="33.950000000000003" customHeight="1" x14ac:dyDescent="0.25">
      <c r="A156" s="40" t="s">
        <v>220</v>
      </c>
      <c r="B156" s="47" t="s">
        <v>16</v>
      </c>
      <c r="C156" s="47" t="s">
        <v>16</v>
      </c>
      <c r="D156" s="47" t="s">
        <v>16</v>
      </c>
      <c r="E156" s="47" t="s">
        <v>16</v>
      </c>
      <c r="F156" s="47" t="s">
        <v>16</v>
      </c>
      <c r="G156" s="45" t="s">
        <v>16</v>
      </c>
      <c r="H156" s="45" t="s">
        <v>16</v>
      </c>
      <c r="I156" s="45" t="s">
        <v>16</v>
      </c>
      <c r="J156" s="45" t="s">
        <v>16</v>
      </c>
      <c r="K156" s="45" t="s">
        <v>16</v>
      </c>
    </row>
    <row r="157" spans="1:11" ht="15" customHeight="1" x14ac:dyDescent="0.25">
      <c r="A157" s="35" t="s">
        <v>221</v>
      </c>
      <c r="B157" s="44">
        <v>38.299999999999997</v>
      </c>
      <c r="C157" s="44">
        <v>27.1</v>
      </c>
      <c r="D157" s="44">
        <v>10.7</v>
      </c>
      <c r="E157" s="44">
        <v>15.9</v>
      </c>
      <c r="F157" s="44">
        <v>10</v>
      </c>
      <c r="G157" s="42">
        <v>2248</v>
      </c>
      <c r="H157" s="42">
        <v>1339</v>
      </c>
      <c r="I157" s="42">
        <v>424</v>
      </c>
      <c r="J157" s="42">
        <v>394</v>
      </c>
      <c r="K157" s="42">
        <v>91</v>
      </c>
    </row>
    <row r="158" spans="1:11" ht="15" customHeight="1" x14ac:dyDescent="0.25">
      <c r="A158" s="41" t="s">
        <v>222</v>
      </c>
      <c r="B158" s="44">
        <v>38.299999999999997</v>
      </c>
      <c r="C158" s="44">
        <v>27.1</v>
      </c>
      <c r="D158" s="44">
        <v>10.7</v>
      </c>
      <c r="E158" s="44">
        <v>15.9</v>
      </c>
      <c r="F158" s="44">
        <v>10</v>
      </c>
      <c r="G158" s="42">
        <v>2248</v>
      </c>
      <c r="H158" s="42">
        <v>1339</v>
      </c>
      <c r="I158" s="42">
        <v>424</v>
      </c>
      <c r="J158" s="42">
        <v>394</v>
      </c>
      <c r="K158" s="42">
        <v>91</v>
      </c>
    </row>
    <row r="159" spans="1:11" ht="15" customHeight="1" x14ac:dyDescent="0.25">
      <c r="A159" s="41" t="s">
        <v>223</v>
      </c>
      <c r="B159" s="44">
        <v>45.6</v>
      </c>
      <c r="C159" s="44">
        <v>35.6</v>
      </c>
      <c r="D159" s="44">
        <v>12.8</v>
      </c>
      <c r="E159" s="44">
        <v>13.6</v>
      </c>
      <c r="F159" s="44">
        <v>15.4</v>
      </c>
      <c r="G159" s="42">
        <v>623</v>
      </c>
      <c r="H159" s="42">
        <v>364</v>
      </c>
      <c r="I159" s="42">
        <v>122</v>
      </c>
      <c r="J159" s="42">
        <v>112</v>
      </c>
      <c r="K159" s="42">
        <v>25</v>
      </c>
    </row>
    <row r="160" spans="1:11" ht="15" customHeight="1" x14ac:dyDescent="0.25">
      <c r="A160" s="35" t="s">
        <v>224</v>
      </c>
      <c r="B160" s="44">
        <v>37.799999999999997</v>
      </c>
      <c r="C160" s="44">
        <v>36.9</v>
      </c>
      <c r="D160" s="44" t="s">
        <v>28</v>
      </c>
      <c r="E160" s="44" t="s">
        <v>28</v>
      </c>
      <c r="F160" s="44" t="s">
        <v>28</v>
      </c>
      <c r="G160" s="42">
        <v>108</v>
      </c>
      <c r="H160" s="42">
        <v>13</v>
      </c>
      <c r="I160" s="42" t="s">
        <v>28</v>
      </c>
      <c r="J160" s="42" t="s">
        <v>28</v>
      </c>
      <c r="K160" s="42" t="s">
        <v>28</v>
      </c>
    </row>
    <row r="161" spans="1:11" ht="15" customHeight="1" x14ac:dyDescent="0.25">
      <c r="A161" s="41" t="s">
        <v>225</v>
      </c>
      <c r="B161" s="44">
        <v>54.9</v>
      </c>
      <c r="C161" s="44">
        <v>47.3</v>
      </c>
      <c r="D161" s="44">
        <v>26</v>
      </c>
      <c r="E161" s="44" t="s">
        <v>28</v>
      </c>
      <c r="F161" s="44" t="s">
        <v>28</v>
      </c>
      <c r="G161" s="42">
        <v>133</v>
      </c>
      <c r="H161" s="42">
        <v>33</v>
      </c>
      <c r="I161" s="42" t="s">
        <v>28</v>
      </c>
      <c r="J161" s="42" t="s">
        <v>28</v>
      </c>
      <c r="K161" s="42" t="s">
        <v>28</v>
      </c>
    </row>
    <row r="162" spans="1:11" ht="15" customHeight="1" x14ac:dyDescent="0.25">
      <c r="A162" s="41" t="s">
        <v>226</v>
      </c>
      <c r="B162" s="38">
        <v>43.1</v>
      </c>
      <c r="C162" s="38">
        <v>25.7</v>
      </c>
      <c r="D162" s="38">
        <v>12.4</v>
      </c>
      <c r="E162" s="38" t="s">
        <v>28</v>
      </c>
      <c r="F162" s="38" t="s">
        <v>28</v>
      </c>
      <c r="G162" s="36">
        <v>146</v>
      </c>
      <c r="H162" s="36">
        <v>69</v>
      </c>
      <c r="I162" s="36">
        <v>26</v>
      </c>
      <c r="J162" s="36" t="s">
        <v>28</v>
      </c>
      <c r="K162" s="36" t="s">
        <v>28</v>
      </c>
    </row>
    <row r="163" spans="1:11" ht="15" customHeight="1" x14ac:dyDescent="0.25">
      <c r="A163" s="41" t="s">
        <v>173</v>
      </c>
      <c r="B163" s="38">
        <v>41.1</v>
      </c>
      <c r="C163" s="38">
        <v>28.6</v>
      </c>
      <c r="D163" s="38">
        <v>7.6</v>
      </c>
      <c r="E163" s="38">
        <v>7.5</v>
      </c>
      <c r="F163" s="38" t="s">
        <v>28</v>
      </c>
      <c r="G163" s="36">
        <v>108</v>
      </c>
      <c r="H163" s="36">
        <v>68</v>
      </c>
      <c r="I163" s="36">
        <v>14</v>
      </c>
      <c r="J163" s="36">
        <v>9</v>
      </c>
      <c r="K163" s="36" t="s">
        <v>28</v>
      </c>
    </row>
    <row r="164" spans="1:11" ht="24" customHeight="1" x14ac:dyDescent="0.25">
      <c r="A164" s="40" t="s">
        <v>227</v>
      </c>
      <c r="B164" s="47" t="s">
        <v>16</v>
      </c>
      <c r="C164" s="47" t="s">
        <v>16</v>
      </c>
      <c r="D164" s="47" t="s">
        <v>16</v>
      </c>
      <c r="E164" s="47" t="s">
        <v>16</v>
      </c>
      <c r="F164" s="47" t="s">
        <v>16</v>
      </c>
      <c r="G164" s="45" t="s">
        <v>16</v>
      </c>
      <c r="H164" s="45" t="s">
        <v>16</v>
      </c>
      <c r="I164" s="45" t="s">
        <v>16</v>
      </c>
      <c r="J164" s="45" t="s">
        <v>16</v>
      </c>
      <c r="K164" s="45" t="s">
        <v>16</v>
      </c>
    </row>
    <row r="165" spans="1:11" ht="15" customHeight="1" x14ac:dyDescent="0.25">
      <c r="A165" s="35" t="s">
        <v>222</v>
      </c>
      <c r="B165" s="44">
        <v>39.799999999999997</v>
      </c>
      <c r="C165" s="44">
        <v>27.1</v>
      </c>
      <c r="D165" s="44">
        <v>9.3000000000000007</v>
      </c>
      <c r="E165" s="44">
        <v>13.2</v>
      </c>
      <c r="F165" s="44">
        <v>7.5</v>
      </c>
      <c r="G165" s="42">
        <v>1971</v>
      </c>
      <c r="H165" s="42">
        <v>1339</v>
      </c>
      <c r="I165" s="42">
        <v>324</v>
      </c>
      <c r="J165" s="42">
        <v>255</v>
      </c>
      <c r="K165" s="42">
        <v>53</v>
      </c>
    </row>
    <row r="166" spans="1:11" ht="15" customHeight="1" x14ac:dyDescent="0.25">
      <c r="A166" s="39" t="s">
        <v>359</v>
      </c>
      <c r="B166" s="44">
        <v>41.2</v>
      </c>
      <c r="C166" s="44">
        <v>29.6</v>
      </c>
      <c r="D166" s="44">
        <v>8.5</v>
      </c>
      <c r="E166" s="44">
        <v>11.7</v>
      </c>
      <c r="F166" s="44">
        <v>7</v>
      </c>
      <c r="G166" s="42">
        <v>1769</v>
      </c>
      <c r="H166" s="42">
        <v>1271</v>
      </c>
      <c r="I166" s="42">
        <v>260</v>
      </c>
      <c r="J166" s="42">
        <v>195</v>
      </c>
      <c r="K166" s="42">
        <v>43</v>
      </c>
    </row>
    <row r="167" spans="1:11" ht="15" customHeight="1" x14ac:dyDescent="0.25">
      <c r="A167" s="39" t="s">
        <v>360</v>
      </c>
      <c r="B167" s="44">
        <v>30.9</v>
      </c>
      <c r="C167" s="44">
        <v>10.4</v>
      </c>
      <c r="D167" s="44">
        <v>15.7</v>
      </c>
      <c r="E167" s="44">
        <v>23.1</v>
      </c>
      <c r="F167" s="44">
        <v>11.1</v>
      </c>
      <c r="G167" s="42">
        <v>202</v>
      </c>
      <c r="H167" s="42">
        <v>68</v>
      </c>
      <c r="I167" s="42">
        <v>64</v>
      </c>
      <c r="J167" s="42">
        <v>60</v>
      </c>
      <c r="K167" s="42">
        <v>9</v>
      </c>
    </row>
    <row r="168" spans="1:11" ht="15" customHeight="1" x14ac:dyDescent="0.25">
      <c r="A168" s="35" t="s">
        <v>361</v>
      </c>
      <c r="B168" s="44">
        <v>29.2</v>
      </c>
      <c r="C168" s="44" t="s">
        <v>127</v>
      </c>
      <c r="D168" s="44">
        <v>19.600000000000001</v>
      </c>
      <c r="E168" s="44">
        <v>25.2</v>
      </c>
      <c r="F168" s="44">
        <v>18</v>
      </c>
      <c r="G168" s="42">
        <v>252</v>
      </c>
      <c r="H168" s="42" t="s">
        <v>127</v>
      </c>
      <c r="I168" s="42">
        <v>85</v>
      </c>
      <c r="J168" s="42">
        <v>131</v>
      </c>
      <c r="K168" s="42">
        <v>36</v>
      </c>
    </row>
    <row r="169" spans="1:11" ht="15" customHeight="1" x14ac:dyDescent="0.25">
      <c r="A169" s="41" t="s">
        <v>231</v>
      </c>
      <c r="B169" s="38">
        <v>42.1</v>
      </c>
      <c r="C169" s="38" t="s">
        <v>127</v>
      </c>
      <c r="D169" s="38">
        <v>33</v>
      </c>
      <c r="E169" s="38">
        <v>24.5</v>
      </c>
      <c r="F169" s="38" t="s">
        <v>28</v>
      </c>
      <c r="G169" s="36">
        <v>25</v>
      </c>
      <c r="H169" s="36" t="s">
        <v>127</v>
      </c>
      <c r="I169" s="36">
        <v>15</v>
      </c>
      <c r="J169" s="36">
        <v>8</v>
      </c>
      <c r="K169" s="36" t="s">
        <v>28</v>
      </c>
    </row>
    <row r="170" spans="1:11" ht="33.950000000000003" customHeight="1" x14ac:dyDescent="0.25">
      <c r="A170" s="40" t="s">
        <v>232</v>
      </c>
      <c r="B170" s="47" t="s">
        <v>16</v>
      </c>
      <c r="C170" s="47" t="s">
        <v>16</v>
      </c>
      <c r="D170" s="47" t="s">
        <v>16</v>
      </c>
      <c r="E170" s="47" t="s">
        <v>16</v>
      </c>
      <c r="F170" s="47" t="s">
        <v>16</v>
      </c>
      <c r="G170" s="45" t="s">
        <v>16</v>
      </c>
      <c r="H170" s="45" t="s">
        <v>16</v>
      </c>
      <c r="I170" s="45" t="s">
        <v>16</v>
      </c>
      <c r="J170" s="45" t="s">
        <v>16</v>
      </c>
      <c r="K170" s="45" t="s">
        <v>16</v>
      </c>
    </row>
    <row r="171" spans="1:11" ht="15" customHeight="1" x14ac:dyDescent="0.25">
      <c r="A171" s="35" t="s">
        <v>221</v>
      </c>
      <c r="B171" s="44">
        <v>29</v>
      </c>
      <c r="C171" s="44">
        <v>8.9</v>
      </c>
      <c r="D171" s="44">
        <v>17.3</v>
      </c>
      <c r="E171" s="44">
        <v>22.6</v>
      </c>
      <c r="F171" s="44">
        <v>14.2</v>
      </c>
      <c r="G171" s="42">
        <v>335</v>
      </c>
      <c r="H171" s="42">
        <v>52</v>
      </c>
      <c r="I171" s="42">
        <v>125</v>
      </c>
      <c r="J171" s="42">
        <v>133</v>
      </c>
      <c r="K171" s="42">
        <v>25</v>
      </c>
    </row>
    <row r="172" spans="1:11" ht="15" customHeight="1" x14ac:dyDescent="0.25">
      <c r="A172" s="41" t="s">
        <v>222</v>
      </c>
      <c r="B172" s="44">
        <v>41.2</v>
      </c>
      <c r="C172" s="44">
        <v>29.6</v>
      </c>
      <c r="D172" s="44">
        <v>8.5</v>
      </c>
      <c r="E172" s="44">
        <v>11.7</v>
      </c>
      <c r="F172" s="44">
        <v>7</v>
      </c>
      <c r="G172" s="42">
        <v>1769</v>
      </c>
      <c r="H172" s="42">
        <v>1271</v>
      </c>
      <c r="I172" s="42">
        <v>260</v>
      </c>
      <c r="J172" s="42">
        <v>195</v>
      </c>
      <c r="K172" s="42">
        <v>43</v>
      </c>
    </row>
    <row r="173" spans="1:11" ht="15" customHeight="1" x14ac:dyDescent="0.25">
      <c r="A173" s="41" t="s">
        <v>223</v>
      </c>
      <c r="B173" s="44">
        <v>19.5</v>
      </c>
      <c r="C173" s="44" t="s">
        <v>28</v>
      </c>
      <c r="D173" s="44" t="s">
        <v>28</v>
      </c>
      <c r="E173" s="44">
        <v>12.2</v>
      </c>
      <c r="F173" s="44" t="s">
        <v>28</v>
      </c>
      <c r="G173" s="42">
        <v>8</v>
      </c>
      <c r="H173" s="42" t="s">
        <v>28</v>
      </c>
      <c r="I173" s="42" t="s">
        <v>28</v>
      </c>
      <c r="J173" s="42">
        <v>3</v>
      </c>
      <c r="K173" s="42" t="s">
        <v>28</v>
      </c>
    </row>
    <row r="174" spans="1:11" ht="15" customHeight="1" x14ac:dyDescent="0.25">
      <c r="A174" s="35" t="s">
        <v>224</v>
      </c>
      <c r="B174" s="44">
        <v>38</v>
      </c>
      <c r="C174" s="44" t="s">
        <v>28</v>
      </c>
      <c r="D174" s="44" t="s">
        <v>28</v>
      </c>
      <c r="E174" s="44" t="s">
        <v>28</v>
      </c>
      <c r="F174" s="44" t="s">
        <v>28</v>
      </c>
      <c r="G174" s="42">
        <v>106</v>
      </c>
      <c r="H174" s="42" t="s">
        <v>28</v>
      </c>
      <c r="I174" s="42" t="s">
        <v>28</v>
      </c>
      <c r="J174" s="42" t="s">
        <v>28</v>
      </c>
      <c r="K174" s="42" t="s">
        <v>28</v>
      </c>
    </row>
    <row r="175" spans="1:11" ht="15" customHeight="1" x14ac:dyDescent="0.25">
      <c r="A175" s="41" t="s">
        <v>226</v>
      </c>
      <c r="B175" s="38" t="s">
        <v>28</v>
      </c>
      <c r="C175" s="38" t="s">
        <v>28</v>
      </c>
      <c r="D175" s="38" t="s">
        <v>28</v>
      </c>
      <c r="E175" s="38" t="s">
        <v>127</v>
      </c>
      <c r="F175" s="38" t="s">
        <v>28</v>
      </c>
      <c r="G175" s="36" t="s">
        <v>28</v>
      </c>
      <c r="H175" s="36" t="s">
        <v>28</v>
      </c>
      <c r="I175" s="36" t="s">
        <v>28</v>
      </c>
      <c r="J175" s="36" t="s">
        <v>127</v>
      </c>
      <c r="K175" s="36" t="s">
        <v>28</v>
      </c>
    </row>
    <row r="176" spans="1:11" ht="15" customHeight="1" x14ac:dyDescent="0.25">
      <c r="A176" s="41" t="s">
        <v>173</v>
      </c>
      <c r="B176" s="38" t="s">
        <v>28</v>
      </c>
      <c r="C176" s="38" t="s">
        <v>28</v>
      </c>
      <c r="D176" s="38" t="s">
        <v>28</v>
      </c>
      <c r="E176" s="38" t="s">
        <v>28</v>
      </c>
      <c r="F176" s="38" t="s">
        <v>28</v>
      </c>
      <c r="G176" s="36" t="s">
        <v>28</v>
      </c>
      <c r="H176" s="36" t="s">
        <v>28</v>
      </c>
      <c r="I176" s="36" t="s">
        <v>28</v>
      </c>
      <c r="J176" s="36" t="s">
        <v>28</v>
      </c>
      <c r="K176" s="36" t="s">
        <v>28</v>
      </c>
    </row>
    <row r="177" spans="1:11" ht="24" customHeight="1" x14ac:dyDescent="0.25">
      <c r="A177" s="40" t="s">
        <v>233</v>
      </c>
      <c r="B177" s="47" t="s">
        <v>16</v>
      </c>
      <c r="C177" s="47" t="s">
        <v>16</v>
      </c>
      <c r="D177" s="47" t="s">
        <v>16</v>
      </c>
      <c r="E177" s="47" t="s">
        <v>16</v>
      </c>
      <c r="F177" s="47" t="s">
        <v>16</v>
      </c>
      <c r="G177" s="45" t="s">
        <v>16</v>
      </c>
      <c r="H177" s="45" t="s">
        <v>16</v>
      </c>
      <c r="I177" s="45" t="s">
        <v>16</v>
      </c>
      <c r="J177" s="45" t="s">
        <v>16</v>
      </c>
      <c r="K177" s="45" t="s">
        <v>16</v>
      </c>
    </row>
    <row r="178" spans="1:11" ht="15" customHeight="1" x14ac:dyDescent="0.25">
      <c r="A178" s="35" t="s">
        <v>222</v>
      </c>
      <c r="B178" s="44">
        <v>79.8</v>
      </c>
      <c r="C178" s="44">
        <v>50.5</v>
      </c>
      <c r="D178" s="44">
        <v>12.7</v>
      </c>
      <c r="E178" s="44">
        <v>8.8000000000000007</v>
      </c>
      <c r="F178" s="44">
        <v>15.5</v>
      </c>
      <c r="G178" s="42">
        <v>58</v>
      </c>
      <c r="H178" s="42">
        <v>36</v>
      </c>
      <c r="I178" s="42">
        <v>8</v>
      </c>
      <c r="J178" s="42">
        <v>3</v>
      </c>
      <c r="K178" s="42">
        <v>11</v>
      </c>
    </row>
    <row r="179" spans="1:11" ht="15" customHeight="1" x14ac:dyDescent="0.25">
      <c r="A179" s="35" t="s">
        <v>361</v>
      </c>
      <c r="B179" s="44">
        <v>37.700000000000003</v>
      </c>
      <c r="C179" s="44">
        <v>26.6</v>
      </c>
      <c r="D179" s="44">
        <v>10.7</v>
      </c>
      <c r="E179" s="44">
        <v>16.100000000000001</v>
      </c>
      <c r="F179" s="44">
        <v>9.4</v>
      </c>
      <c r="G179" s="42">
        <v>2120</v>
      </c>
      <c r="H179" s="42">
        <v>1252</v>
      </c>
      <c r="I179" s="42">
        <v>404</v>
      </c>
      <c r="J179" s="42">
        <v>388</v>
      </c>
      <c r="K179" s="42">
        <v>77</v>
      </c>
    </row>
    <row r="180" spans="1:11" ht="15" customHeight="1" x14ac:dyDescent="0.25">
      <c r="A180" s="41" t="s">
        <v>234</v>
      </c>
      <c r="B180" s="44">
        <v>38.200000000000003</v>
      </c>
      <c r="C180" s="44">
        <v>30.8</v>
      </c>
      <c r="D180" s="44">
        <v>11.5</v>
      </c>
      <c r="E180" s="44">
        <v>11.1</v>
      </c>
      <c r="F180" s="44" t="s">
        <v>28</v>
      </c>
      <c r="G180" s="42">
        <v>70</v>
      </c>
      <c r="H180" s="42">
        <v>52</v>
      </c>
      <c r="I180" s="42">
        <v>12</v>
      </c>
      <c r="J180" s="42">
        <v>4</v>
      </c>
      <c r="K180" s="42" t="s">
        <v>28</v>
      </c>
    </row>
    <row r="181" spans="1:11" ht="24" customHeight="1" x14ac:dyDescent="0.25">
      <c r="A181" s="40" t="s">
        <v>235</v>
      </c>
      <c r="B181" s="47" t="s">
        <v>16</v>
      </c>
      <c r="C181" s="47" t="s">
        <v>16</v>
      </c>
      <c r="D181" s="47" t="s">
        <v>16</v>
      </c>
      <c r="E181" s="47" t="s">
        <v>16</v>
      </c>
      <c r="F181" s="47" t="s">
        <v>16</v>
      </c>
      <c r="G181" s="45" t="s">
        <v>16</v>
      </c>
      <c r="H181" s="45" t="s">
        <v>16</v>
      </c>
      <c r="I181" s="45" t="s">
        <v>16</v>
      </c>
      <c r="J181" s="45" t="s">
        <v>16</v>
      </c>
      <c r="K181" s="45" t="s">
        <v>16</v>
      </c>
    </row>
    <row r="182" spans="1:11" ht="15" customHeight="1" x14ac:dyDescent="0.25">
      <c r="A182" s="35" t="s">
        <v>222</v>
      </c>
      <c r="B182" s="44">
        <v>44.8</v>
      </c>
      <c r="C182" s="44">
        <v>29.2</v>
      </c>
      <c r="D182" s="44">
        <v>10.7</v>
      </c>
      <c r="E182" s="44">
        <v>14.7</v>
      </c>
      <c r="F182" s="44">
        <v>8.6999999999999993</v>
      </c>
      <c r="G182" s="42">
        <v>1771</v>
      </c>
      <c r="H182" s="42">
        <v>1013</v>
      </c>
      <c r="I182" s="42">
        <v>424</v>
      </c>
      <c r="J182" s="42">
        <v>280</v>
      </c>
      <c r="K182" s="42">
        <v>54</v>
      </c>
    </row>
    <row r="183" spans="1:11" ht="15" customHeight="1" x14ac:dyDescent="0.25">
      <c r="A183" s="35" t="s">
        <v>361</v>
      </c>
      <c r="B183" s="44">
        <v>25.1</v>
      </c>
      <c r="C183" s="44">
        <v>22.1</v>
      </c>
      <c r="D183" s="44" t="s">
        <v>127</v>
      </c>
      <c r="E183" s="44">
        <v>19.8</v>
      </c>
      <c r="F183" s="44">
        <v>12.5</v>
      </c>
      <c r="G183" s="42">
        <v>439</v>
      </c>
      <c r="H183" s="42">
        <v>290</v>
      </c>
      <c r="I183" s="42" t="s">
        <v>127</v>
      </c>
      <c r="J183" s="42">
        <v>114</v>
      </c>
      <c r="K183" s="42">
        <v>35</v>
      </c>
    </row>
    <row r="184" spans="1:11" ht="15" customHeight="1" x14ac:dyDescent="0.25">
      <c r="A184" s="41" t="s">
        <v>236</v>
      </c>
      <c r="B184" s="44">
        <v>22.5</v>
      </c>
      <c r="C184" s="44">
        <v>21.3</v>
      </c>
      <c r="D184" s="44" t="s">
        <v>127</v>
      </c>
      <c r="E184" s="44" t="s">
        <v>28</v>
      </c>
      <c r="F184" s="44" t="s">
        <v>28</v>
      </c>
      <c r="G184" s="42">
        <v>38</v>
      </c>
      <c r="H184" s="42">
        <v>36</v>
      </c>
      <c r="I184" s="42" t="s">
        <v>127</v>
      </c>
      <c r="J184" s="42" t="s">
        <v>28</v>
      </c>
      <c r="K184" s="42" t="s">
        <v>28</v>
      </c>
    </row>
    <row r="185" spans="1:11" ht="24" customHeight="1" x14ac:dyDescent="0.25">
      <c r="A185" s="40" t="s">
        <v>237</v>
      </c>
      <c r="B185" s="47" t="s">
        <v>16</v>
      </c>
      <c r="C185" s="47" t="s">
        <v>16</v>
      </c>
      <c r="D185" s="47" t="s">
        <v>16</v>
      </c>
      <c r="E185" s="47" t="s">
        <v>16</v>
      </c>
      <c r="F185" s="47" t="s">
        <v>16</v>
      </c>
      <c r="G185" s="45" t="s">
        <v>16</v>
      </c>
      <c r="H185" s="45" t="s">
        <v>16</v>
      </c>
      <c r="I185" s="45" t="s">
        <v>16</v>
      </c>
      <c r="J185" s="45" t="s">
        <v>16</v>
      </c>
      <c r="K185" s="45" t="s">
        <v>16</v>
      </c>
    </row>
    <row r="186" spans="1:11" ht="15" customHeight="1" x14ac:dyDescent="0.25">
      <c r="A186" s="35" t="s">
        <v>222</v>
      </c>
      <c r="B186" s="44">
        <v>50</v>
      </c>
      <c r="C186" s="44">
        <v>28.2</v>
      </c>
      <c r="D186" s="44">
        <v>14</v>
      </c>
      <c r="E186" s="44">
        <v>15.9</v>
      </c>
      <c r="F186" s="44">
        <v>8</v>
      </c>
      <c r="G186" s="42">
        <v>1238</v>
      </c>
      <c r="H186" s="42">
        <v>542</v>
      </c>
      <c r="I186" s="42">
        <v>265</v>
      </c>
      <c r="J186" s="42">
        <v>394</v>
      </c>
      <c r="K186" s="42">
        <v>37</v>
      </c>
    </row>
    <row r="187" spans="1:11" ht="15" customHeight="1" x14ac:dyDescent="0.25">
      <c r="A187" s="35" t="s">
        <v>361</v>
      </c>
      <c r="B187" s="44">
        <v>32.799999999999997</v>
      </c>
      <c r="C187" s="44">
        <v>28.5</v>
      </c>
      <c r="D187" s="44">
        <v>10.8</v>
      </c>
      <c r="E187" s="44" t="s">
        <v>127</v>
      </c>
      <c r="F187" s="44">
        <v>4.8</v>
      </c>
      <c r="G187" s="42">
        <v>205</v>
      </c>
      <c r="H187" s="42">
        <v>155</v>
      </c>
      <c r="I187" s="42">
        <v>46</v>
      </c>
      <c r="J187" s="42" t="s">
        <v>127</v>
      </c>
      <c r="K187" s="42">
        <v>4</v>
      </c>
    </row>
    <row r="188" spans="1:11" ht="15" customHeight="1" x14ac:dyDescent="0.25">
      <c r="A188" s="41" t="s">
        <v>238</v>
      </c>
      <c r="B188" s="44">
        <v>29.1</v>
      </c>
      <c r="C188" s="44">
        <v>25.9</v>
      </c>
      <c r="D188" s="44">
        <v>6.9</v>
      </c>
      <c r="E188" s="44" t="s">
        <v>127</v>
      </c>
      <c r="F188" s="44">
        <v>14.2</v>
      </c>
      <c r="G188" s="42">
        <v>805</v>
      </c>
      <c r="H188" s="42">
        <v>643</v>
      </c>
      <c r="I188" s="42">
        <v>113</v>
      </c>
      <c r="J188" s="42" t="s">
        <v>127</v>
      </c>
      <c r="K188" s="42">
        <v>49</v>
      </c>
    </row>
    <row r="189" spans="1:11" ht="33.950000000000003" customHeight="1" x14ac:dyDescent="0.25">
      <c r="A189" s="40" t="s">
        <v>239</v>
      </c>
      <c r="B189" s="47" t="s">
        <v>16</v>
      </c>
      <c r="C189" s="47" t="s">
        <v>16</v>
      </c>
      <c r="D189" s="47" t="s">
        <v>16</v>
      </c>
      <c r="E189" s="47" t="s">
        <v>16</v>
      </c>
      <c r="F189" s="47" t="s">
        <v>16</v>
      </c>
      <c r="G189" s="45" t="s">
        <v>16</v>
      </c>
      <c r="H189" s="45" t="s">
        <v>16</v>
      </c>
      <c r="I189" s="45" t="s">
        <v>16</v>
      </c>
      <c r="J189" s="45" t="s">
        <v>16</v>
      </c>
      <c r="K189" s="45" t="s">
        <v>16</v>
      </c>
    </row>
    <row r="190" spans="1:11" ht="15" customHeight="1" x14ac:dyDescent="0.25">
      <c r="A190" s="35" t="s">
        <v>240</v>
      </c>
      <c r="B190" s="44">
        <v>38.200000000000003</v>
      </c>
      <c r="C190" s="44">
        <v>27.1</v>
      </c>
      <c r="D190" s="44">
        <v>10.5</v>
      </c>
      <c r="E190" s="44">
        <v>15.8</v>
      </c>
      <c r="F190" s="44">
        <v>9.9</v>
      </c>
      <c r="G190" s="42">
        <v>2223</v>
      </c>
      <c r="H190" s="42">
        <v>1339</v>
      </c>
      <c r="I190" s="42">
        <v>410</v>
      </c>
      <c r="J190" s="42">
        <v>385</v>
      </c>
      <c r="K190" s="42">
        <v>89</v>
      </c>
    </row>
    <row r="191" spans="1:11" ht="15" customHeight="1" x14ac:dyDescent="0.25">
      <c r="A191" s="41" t="s">
        <v>241</v>
      </c>
      <c r="B191" s="44">
        <v>38.299999999999997</v>
      </c>
      <c r="C191" s="44">
        <v>26.9</v>
      </c>
      <c r="D191" s="44">
        <v>10.7</v>
      </c>
      <c r="E191" s="44">
        <v>16</v>
      </c>
      <c r="F191" s="44">
        <v>9.9</v>
      </c>
      <c r="G191" s="42">
        <v>2178</v>
      </c>
      <c r="H191" s="42">
        <v>1288</v>
      </c>
      <c r="I191" s="42">
        <v>412</v>
      </c>
      <c r="J191" s="42">
        <v>390</v>
      </c>
      <c r="K191" s="42">
        <v>88</v>
      </c>
    </row>
    <row r="192" spans="1:11" ht="15" customHeight="1" x14ac:dyDescent="0.25">
      <c r="A192" s="41" t="s">
        <v>242</v>
      </c>
      <c r="B192" s="44">
        <v>38.799999999999997</v>
      </c>
      <c r="C192" s="44">
        <v>27.3</v>
      </c>
      <c r="D192" s="44">
        <v>10.7</v>
      </c>
      <c r="E192" s="44">
        <v>15.9</v>
      </c>
      <c r="F192" s="44">
        <v>9.9</v>
      </c>
      <c r="G192" s="42">
        <v>2210</v>
      </c>
      <c r="H192" s="42">
        <v>1303</v>
      </c>
      <c r="I192" s="42">
        <v>424</v>
      </c>
      <c r="J192" s="42">
        <v>394</v>
      </c>
      <c r="K192" s="42">
        <v>89</v>
      </c>
    </row>
    <row r="193" spans="1:11" ht="15" customHeight="1" x14ac:dyDescent="0.25">
      <c r="A193" s="35" t="s">
        <v>243</v>
      </c>
      <c r="B193" s="44">
        <v>46.5</v>
      </c>
      <c r="C193" s="44">
        <v>28.2</v>
      </c>
      <c r="D193" s="44">
        <v>13.4</v>
      </c>
      <c r="E193" s="44">
        <v>15.9</v>
      </c>
      <c r="F193" s="44">
        <v>7.5</v>
      </c>
      <c r="G193" s="42">
        <v>1443</v>
      </c>
      <c r="H193" s="42">
        <v>696</v>
      </c>
      <c r="I193" s="42">
        <v>311</v>
      </c>
      <c r="J193" s="42">
        <v>394</v>
      </c>
      <c r="K193" s="42">
        <v>41</v>
      </c>
    </row>
    <row r="194" spans="1:11" ht="15" customHeight="1" x14ac:dyDescent="0.25">
      <c r="A194" s="41" t="s">
        <v>244</v>
      </c>
      <c r="B194" s="38">
        <v>33</v>
      </c>
      <c r="C194" s="38">
        <v>23.2</v>
      </c>
      <c r="D194" s="38">
        <v>6.5</v>
      </c>
      <c r="E194" s="38">
        <v>14.5</v>
      </c>
      <c r="F194" s="38">
        <v>21.3</v>
      </c>
      <c r="G194" s="36">
        <v>123</v>
      </c>
      <c r="H194" s="36">
        <v>79</v>
      </c>
      <c r="I194" s="36">
        <v>13</v>
      </c>
      <c r="J194" s="36">
        <v>11</v>
      </c>
      <c r="K194" s="36">
        <v>20</v>
      </c>
    </row>
    <row r="195" spans="1:11" ht="27.95" customHeight="1" x14ac:dyDescent="0.25">
      <c r="A195" s="41" t="s">
        <v>245</v>
      </c>
      <c r="B195" s="38">
        <v>42.2</v>
      </c>
      <c r="C195" s="38">
        <v>31</v>
      </c>
      <c r="D195" s="38">
        <v>11.2</v>
      </c>
      <c r="E195" s="38">
        <v>11.6</v>
      </c>
      <c r="F195" s="38">
        <v>8.3000000000000007</v>
      </c>
      <c r="G195" s="36">
        <v>855</v>
      </c>
      <c r="H195" s="36">
        <v>492</v>
      </c>
      <c r="I195" s="36">
        <v>160</v>
      </c>
      <c r="J195" s="36">
        <v>137</v>
      </c>
      <c r="K195" s="36">
        <v>66</v>
      </c>
    </row>
    <row r="196" spans="1:11" ht="24" customHeight="1" x14ac:dyDescent="0.25">
      <c r="A196" s="40" t="s">
        <v>246</v>
      </c>
      <c r="B196" s="47" t="s">
        <v>16</v>
      </c>
      <c r="C196" s="47" t="s">
        <v>16</v>
      </c>
      <c r="D196" s="47" t="s">
        <v>16</v>
      </c>
      <c r="E196" s="47" t="s">
        <v>16</v>
      </c>
      <c r="F196" s="47" t="s">
        <v>16</v>
      </c>
      <c r="G196" s="45" t="s">
        <v>16</v>
      </c>
      <c r="H196" s="45" t="s">
        <v>16</v>
      </c>
      <c r="I196" s="45" t="s">
        <v>16</v>
      </c>
      <c r="J196" s="45" t="s">
        <v>16</v>
      </c>
      <c r="K196" s="45" t="s">
        <v>16</v>
      </c>
    </row>
    <row r="197" spans="1:11" ht="15" customHeight="1" x14ac:dyDescent="0.25">
      <c r="A197" s="35" t="s">
        <v>247</v>
      </c>
      <c r="B197" s="44">
        <v>42.1</v>
      </c>
      <c r="C197" s="44" t="s">
        <v>127</v>
      </c>
      <c r="D197" s="44">
        <v>33</v>
      </c>
      <c r="E197" s="44">
        <v>24.5</v>
      </c>
      <c r="F197" s="44" t="s">
        <v>28</v>
      </c>
      <c r="G197" s="42">
        <v>25</v>
      </c>
      <c r="H197" s="42" t="s">
        <v>127</v>
      </c>
      <c r="I197" s="42">
        <v>15</v>
      </c>
      <c r="J197" s="42">
        <v>8</v>
      </c>
      <c r="K197" s="42" t="s">
        <v>28</v>
      </c>
    </row>
    <row r="198" spans="1:11" ht="15" customHeight="1" x14ac:dyDescent="0.25">
      <c r="A198" s="41" t="s">
        <v>248</v>
      </c>
      <c r="B198" s="44">
        <v>21.5</v>
      </c>
      <c r="C198" s="44">
        <v>12.2</v>
      </c>
      <c r="D198" s="44">
        <v>6.9</v>
      </c>
      <c r="E198" s="44">
        <v>31.3</v>
      </c>
      <c r="F198" s="44">
        <v>11.8</v>
      </c>
      <c r="G198" s="42">
        <v>123</v>
      </c>
      <c r="H198" s="42">
        <v>60</v>
      </c>
      <c r="I198" s="42">
        <v>23</v>
      </c>
      <c r="J198" s="42">
        <v>36</v>
      </c>
      <c r="K198" s="42">
        <v>4</v>
      </c>
    </row>
    <row r="199" spans="1:11" ht="15" customHeight="1" x14ac:dyDescent="0.25">
      <c r="A199" s="41" t="s">
        <v>249</v>
      </c>
      <c r="B199" s="44">
        <v>39.700000000000003</v>
      </c>
      <c r="C199" s="44">
        <v>27.5</v>
      </c>
      <c r="D199" s="44">
        <v>10.5</v>
      </c>
      <c r="E199" s="44">
        <v>16.100000000000001</v>
      </c>
      <c r="F199" s="44">
        <v>10.3</v>
      </c>
      <c r="G199" s="42">
        <v>443</v>
      </c>
      <c r="H199" s="42">
        <v>256</v>
      </c>
      <c r="I199" s="42">
        <v>76</v>
      </c>
      <c r="J199" s="42">
        <v>95</v>
      </c>
      <c r="K199" s="42">
        <v>16</v>
      </c>
    </row>
    <row r="200" spans="1:11" ht="15" customHeight="1" x14ac:dyDescent="0.25">
      <c r="A200" s="48" t="s">
        <v>250</v>
      </c>
      <c r="B200" s="44">
        <v>40.200000000000003</v>
      </c>
      <c r="C200" s="44">
        <v>29</v>
      </c>
      <c r="D200" s="44">
        <v>10.9</v>
      </c>
      <c r="E200" s="44">
        <v>14.7</v>
      </c>
      <c r="F200" s="44">
        <v>9.6999999999999993</v>
      </c>
      <c r="G200" s="42">
        <v>1657</v>
      </c>
      <c r="H200" s="42">
        <v>1024</v>
      </c>
      <c r="I200" s="42">
        <v>310</v>
      </c>
      <c r="J200" s="42">
        <v>255</v>
      </c>
      <c r="K200" s="42">
        <v>69</v>
      </c>
    </row>
    <row r="201" spans="1:11" ht="24" customHeight="1" x14ac:dyDescent="0.25">
      <c r="A201" s="40" t="s">
        <v>251</v>
      </c>
      <c r="B201" s="47" t="s">
        <v>16</v>
      </c>
      <c r="C201" s="47" t="s">
        <v>16</v>
      </c>
      <c r="D201" s="47" t="s">
        <v>16</v>
      </c>
      <c r="E201" s="47" t="s">
        <v>16</v>
      </c>
      <c r="F201" s="47" t="s">
        <v>16</v>
      </c>
      <c r="G201" s="45" t="s">
        <v>16</v>
      </c>
      <c r="H201" s="45" t="s">
        <v>16</v>
      </c>
      <c r="I201" s="45" t="s">
        <v>16</v>
      </c>
      <c r="J201" s="45" t="s">
        <v>16</v>
      </c>
      <c r="K201" s="45" t="s">
        <v>16</v>
      </c>
    </row>
    <row r="202" spans="1:11" ht="15" customHeight="1" x14ac:dyDescent="0.25">
      <c r="A202" s="35" t="s">
        <v>252</v>
      </c>
      <c r="B202" s="44">
        <v>38.200000000000003</v>
      </c>
      <c r="C202" s="44">
        <v>30.8</v>
      </c>
      <c r="D202" s="44">
        <v>11.5</v>
      </c>
      <c r="E202" s="44">
        <v>11.1</v>
      </c>
      <c r="F202" s="44" t="s">
        <v>28</v>
      </c>
      <c r="G202" s="42">
        <v>70</v>
      </c>
      <c r="H202" s="42">
        <v>52</v>
      </c>
      <c r="I202" s="42">
        <v>12</v>
      </c>
      <c r="J202" s="42">
        <v>4</v>
      </c>
      <c r="K202" s="42" t="s">
        <v>28</v>
      </c>
    </row>
    <row r="203" spans="1:11" ht="15" customHeight="1" x14ac:dyDescent="0.25">
      <c r="A203" s="41" t="s">
        <v>248</v>
      </c>
      <c r="B203" s="44">
        <v>32.1</v>
      </c>
      <c r="C203" s="44">
        <v>26.3</v>
      </c>
      <c r="D203" s="44">
        <v>6.5</v>
      </c>
      <c r="E203" s="44">
        <v>13.8</v>
      </c>
      <c r="F203" s="44">
        <v>7.5</v>
      </c>
      <c r="G203" s="42">
        <v>418</v>
      </c>
      <c r="H203" s="42">
        <v>315</v>
      </c>
      <c r="I203" s="42">
        <v>51</v>
      </c>
      <c r="J203" s="42">
        <v>41</v>
      </c>
      <c r="K203" s="42">
        <v>11</v>
      </c>
    </row>
    <row r="204" spans="1:11" ht="15" customHeight="1" x14ac:dyDescent="0.25">
      <c r="A204" s="41" t="s">
        <v>249</v>
      </c>
      <c r="B204" s="44">
        <v>39</v>
      </c>
      <c r="C204" s="44">
        <v>27.8</v>
      </c>
      <c r="D204" s="44">
        <v>10.5</v>
      </c>
      <c r="E204" s="44">
        <v>12.9</v>
      </c>
      <c r="F204" s="44">
        <v>8.9</v>
      </c>
      <c r="G204" s="42">
        <v>667</v>
      </c>
      <c r="H204" s="42">
        <v>401</v>
      </c>
      <c r="I204" s="42">
        <v>125</v>
      </c>
      <c r="J204" s="42">
        <v>117</v>
      </c>
      <c r="K204" s="42">
        <v>24</v>
      </c>
    </row>
    <row r="205" spans="1:11" ht="15" customHeight="1" x14ac:dyDescent="0.25">
      <c r="A205" s="48" t="s">
        <v>250</v>
      </c>
      <c r="B205" s="44">
        <v>40.799999999999997</v>
      </c>
      <c r="C205" s="44">
        <v>26.7</v>
      </c>
      <c r="D205" s="44">
        <v>12.6</v>
      </c>
      <c r="E205" s="44">
        <v>18.7</v>
      </c>
      <c r="F205" s="44">
        <v>11.2</v>
      </c>
      <c r="G205" s="42">
        <v>1093</v>
      </c>
      <c r="H205" s="42">
        <v>571</v>
      </c>
      <c r="I205" s="42">
        <v>236</v>
      </c>
      <c r="J205" s="42">
        <v>232</v>
      </c>
      <c r="K205" s="42">
        <v>54</v>
      </c>
    </row>
    <row r="206" spans="1:11" ht="33.950000000000003" customHeight="1" x14ac:dyDescent="0.25">
      <c r="A206" s="40" t="s">
        <v>261</v>
      </c>
      <c r="B206" s="47" t="s">
        <v>16</v>
      </c>
      <c r="C206" s="47" t="s">
        <v>16</v>
      </c>
      <c r="D206" s="47" t="s">
        <v>16</v>
      </c>
      <c r="E206" s="47" t="s">
        <v>16</v>
      </c>
      <c r="F206" s="47" t="s">
        <v>16</v>
      </c>
      <c r="G206" s="45" t="s">
        <v>16</v>
      </c>
      <c r="H206" s="45" t="s">
        <v>16</v>
      </c>
      <c r="I206" s="45" t="s">
        <v>16</v>
      </c>
      <c r="J206" s="45" t="s">
        <v>16</v>
      </c>
      <c r="K206" s="45" t="s">
        <v>16</v>
      </c>
    </row>
    <row r="207" spans="1:11" ht="15" customHeight="1" x14ac:dyDescent="0.25">
      <c r="A207" s="35" t="s">
        <v>262</v>
      </c>
      <c r="B207" s="44">
        <v>32.700000000000003</v>
      </c>
      <c r="C207" s="44">
        <v>18.3</v>
      </c>
      <c r="D207" s="44">
        <v>13.9</v>
      </c>
      <c r="E207" s="44">
        <v>14.3</v>
      </c>
      <c r="F207" s="44">
        <v>9.5</v>
      </c>
      <c r="G207" s="42">
        <v>247</v>
      </c>
      <c r="H207" s="42">
        <v>109</v>
      </c>
      <c r="I207" s="42">
        <v>71</v>
      </c>
      <c r="J207" s="42">
        <v>57</v>
      </c>
      <c r="K207" s="42">
        <v>11</v>
      </c>
    </row>
    <row r="208" spans="1:11" ht="15" customHeight="1" x14ac:dyDescent="0.25">
      <c r="A208" s="41" t="s">
        <v>263</v>
      </c>
      <c r="B208" s="44">
        <v>34.700000000000003</v>
      </c>
      <c r="C208" s="44">
        <v>23.6</v>
      </c>
      <c r="D208" s="44">
        <v>7.3</v>
      </c>
      <c r="E208" s="44">
        <v>19.3</v>
      </c>
      <c r="F208" s="44">
        <v>6.4</v>
      </c>
      <c r="G208" s="42">
        <v>244</v>
      </c>
      <c r="H208" s="42">
        <v>161</v>
      </c>
      <c r="I208" s="42">
        <v>35</v>
      </c>
      <c r="J208" s="42">
        <v>44</v>
      </c>
      <c r="K208" s="42">
        <v>4</v>
      </c>
    </row>
    <row r="209" spans="1:11" ht="15" customHeight="1" x14ac:dyDescent="0.25">
      <c r="A209" s="41" t="s">
        <v>264</v>
      </c>
      <c r="B209" s="44">
        <v>34.5</v>
      </c>
      <c r="C209" s="44">
        <v>26.9</v>
      </c>
      <c r="D209" s="44">
        <v>9.6999999999999993</v>
      </c>
      <c r="E209" s="44">
        <v>9.1</v>
      </c>
      <c r="F209" s="44">
        <v>7</v>
      </c>
      <c r="G209" s="42">
        <v>545</v>
      </c>
      <c r="H209" s="42">
        <v>373</v>
      </c>
      <c r="I209" s="42">
        <v>100</v>
      </c>
      <c r="J209" s="42">
        <v>55</v>
      </c>
      <c r="K209" s="42">
        <v>17</v>
      </c>
    </row>
    <row r="210" spans="1:11" ht="15" customHeight="1" x14ac:dyDescent="0.25">
      <c r="A210" s="41" t="s">
        <v>224</v>
      </c>
      <c r="B210" s="44">
        <v>38.1</v>
      </c>
      <c r="C210" s="44">
        <v>37.700000000000003</v>
      </c>
      <c r="D210" s="44" t="s">
        <v>28</v>
      </c>
      <c r="E210" s="44" t="s">
        <v>28</v>
      </c>
      <c r="F210" s="44" t="s">
        <v>28</v>
      </c>
      <c r="G210" s="42">
        <v>108</v>
      </c>
      <c r="H210" s="42">
        <v>13</v>
      </c>
      <c r="I210" s="42" t="s">
        <v>28</v>
      </c>
      <c r="J210" s="42" t="s">
        <v>28</v>
      </c>
      <c r="K210" s="42" t="s">
        <v>28</v>
      </c>
    </row>
    <row r="211" spans="1:11" ht="15" customHeight="1" x14ac:dyDescent="0.25">
      <c r="A211" s="41" t="s">
        <v>265</v>
      </c>
      <c r="B211" s="44">
        <v>49.2</v>
      </c>
      <c r="C211" s="44">
        <v>35.299999999999997</v>
      </c>
      <c r="D211" s="44">
        <v>11.5</v>
      </c>
      <c r="E211" s="44">
        <v>7.5</v>
      </c>
      <c r="F211" s="44">
        <v>9</v>
      </c>
      <c r="G211" s="42">
        <v>984</v>
      </c>
      <c r="H211" s="42">
        <v>666</v>
      </c>
      <c r="I211" s="42">
        <v>193</v>
      </c>
      <c r="J211" s="42">
        <v>85</v>
      </c>
      <c r="K211" s="42">
        <v>40</v>
      </c>
    </row>
    <row r="212" spans="1:11" ht="15" customHeight="1" x14ac:dyDescent="0.25">
      <c r="A212" s="41" t="s">
        <v>266</v>
      </c>
      <c r="B212" s="44">
        <v>36.200000000000003</v>
      </c>
      <c r="C212" s="44">
        <v>24.4</v>
      </c>
      <c r="D212" s="44">
        <v>9.6</v>
      </c>
      <c r="E212" s="44">
        <v>17.2</v>
      </c>
      <c r="F212" s="44">
        <v>8.4</v>
      </c>
      <c r="G212" s="42">
        <v>1360</v>
      </c>
      <c r="H212" s="42">
        <v>805</v>
      </c>
      <c r="I212" s="42">
        <v>238</v>
      </c>
      <c r="J212" s="42">
        <v>274</v>
      </c>
      <c r="K212" s="42">
        <v>43</v>
      </c>
    </row>
    <row r="213" spans="1:11" ht="15" customHeight="1" x14ac:dyDescent="0.25">
      <c r="A213" s="41" t="s">
        <v>173</v>
      </c>
      <c r="B213" s="44">
        <v>45.2</v>
      </c>
      <c r="C213" s="44">
        <v>23.2</v>
      </c>
      <c r="D213" s="44">
        <v>10</v>
      </c>
      <c r="E213" s="44">
        <v>15.3</v>
      </c>
      <c r="F213" s="44">
        <v>7.9</v>
      </c>
      <c r="G213" s="42">
        <v>54</v>
      </c>
      <c r="H213" s="42">
        <v>25</v>
      </c>
      <c r="I213" s="42">
        <v>11</v>
      </c>
      <c r="J213" s="42">
        <v>15</v>
      </c>
      <c r="K213" s="42">
        <v>3</v>
      </c>
    </row>
    <row r="214" spans="1:11" ht="33.950000000000003" customHeight="1" x14ac:dyDescent="0.25">
      <c r="A214" s="40" t="s">
        <v>267</v>
      </c>
      <c r="B214" s="47" t="s">
        <v>16</v>
      </c>
      <c r="C214" s="47" t="s">
        <v>16</v>
      </c>
      <c r="D214" s="47" t="s">
        <v>16</v>
      </c>
      <c r="E214" s="47" t="s">
        <v>16</v>
      </c>
      <c r="F214" s="47" t="s">
        <v>16</v>
      </c>
      <c r="G214" s="45" t="s">
        <v>16</v>
      </c>
      <c r="H214" s="45" t="s">
        <v>16</v>
      </c>
      <c r="I214" s="45" t="s">
        <v>16</v>
      </c>
      <c r="J214" s="45" t="s">
        <v>16</v>
      </c>
      <c r="K214" s="45" t="s">
        <v>16</v>
      </c>
    </row>
    <row r="215" spans="1:11" ht="27.95" customHeight="1" x14ac:dyDescent="0.25">
      <c r="A215" s="35" t="s">
        <v>268</v>
      </c>
      <c r="B215" s="44">
        <v>39.6</v>
      </c>
      <c r="C215" s="44">
        <v>25.3</v>
      </c>
      <c r="D215" s="44">
        <v>10.3</v>
      </c>
      <c r="E215" s="44">
        <v>25.6</v>
      </c>
      <c r="F215" s="44" t="s">
        <v>28</v>
      </c>
      <c r="G215" s="42">
        <v>416</v>
      </c>
      <c r="H215" s="42">
        <v>239</v>
      </c>
      <c r="I215" s="42">
        <v>75</v>
      </c>
      <c r="J215" s="42">
        <v>84</v>
      </c>
      <c r="K215" s="42" t="s">
        <v>28</v>
      </c>
    </row>
    <row r="216" spans="1:11" ht="15" customHeight="1" x14ac:dyDescent="0.25">
      <c r="A216" s="35" t="s">
        <v>262</v>
      </c>
      <c r="B216" s="44">
        <v>32</v>
      </c>
      <c r="C216" s="44">
        <v>18.100000000000001</v>
      </c>
      <c r="D216" s="44">
        <v>13.6</v>
      </c>
      <c r="E216" s="44">
        <v>12.6</v>
      </c>
      <c r="F216" s="44">
        <v>9.9</v>
      </c>
      <c r="G216" s="42">
        <v>257</v>
      </c>
      <c r="H216" s="42">
        <v>118</v>
      </c>
      <c r="I216" s="42">
        <v>73</v>
      </c>
      <c r="J216" s="42">
        <v>53</v>
      </c>
      <c r="K216" s="42">
        <v>13</v>
      </c>
    </row>
    <row r="217" spans="1:11" ht="15" customHeight="1" x14ac:dyDescent="0.25">
      <c r="A217" s="41" t="s">
        <v>269</v>
      </c>
      <c r="B217" s="44">
        <v>41</v>
      </c>
      <c r="C217" s="44">
        <v>29.9</v>
      </c>
      <c r="D217" s="44">
        <v>14.4</v>
      </c>
      <c r="E217" s="44">
        <v>9.1</v>
      </c>
      <c r="F217" s="44">
        <v>10.3</v>
      </c>
      <c r="G217" s="42">
        <v>374</v>
      </c>
      <c r="H217" s="42">
        <v>222</v>
      </c>
      <c r="I217" s="42">
        <v>92</v>
      </c>
      <c r="J217" s="42">
        <v>44</v>
      </c>
      <c r="K217" s="42">
        <v>16</v>
      </c>
    </row>
    <row r="218" spans="1:11" ht="15" customHeight="1" x14ac:dyDescent="0.25">
      <c r="A218" s="41" t="s">
        <v>225</v>
      </c>
      <c r="B218" s="38">
        <v>54.9</v>
      </c>
      <c r="C218" s="38">
        <v>47.3</v>
      </c>
      <c r="D218" s="38">
        <v>26</v>
      </c>
      <c r="E218" s="38" t="s">
        <v>28</v>
      </c>
      <c r="F218" s="38" t="s">
        <v>28</v>
      </c>
      <c r="G218" s="36">
        <v>133</v>
      </c>
      <c r="H218" s="36">
        <v>33</v>
      </c>
      <c r="I218" s="36" t="s">
        <v>28</v>
      </c>
      <c r="J218" s="36" t="s">
        <v>28</v>
      </c>
      <c r="K218" s="36" t="s">
        <v>28</v>
      </c>
    </row>
    <row r="219" spans="1:11" ht="15" customHeight="1" x14ac:dyDescent="0.25">
      <c r="A219" s="41" t="s">
        <v>270</v>
      </c>
      <c r="B219" s="38">
        <v>43.5</v>
      </c>
      <c r="C219" s="38">
        <v>35</v>
      </c>
      <c r="D219" s="38">
        <v>10.8</v>
      </c>
      <c r="E219" s="38">
        <v>7</v>
      </c>
      <c r="F219" s="38">
        <v>8.6999999999999993</v>
      </c>
      <c r="G219" s="36">
        <v>598</v>
      </c>
      <c r="H219" s="36">
        <v>391</v>
      </c>
      <c r="I219" s="36">
        <v>118</v>
      </c>
      <c r="J219" s="36">
        <v>60</v>
      </c>
      <c r="K219" s="36">
        <v>30</v>
      </c>
    </row>
    <row r="220" spans="1:11" ht="15" customHeight="1" x14ac:dyDescent="0.25">
      <c r="A220" s="41" t="s">
        <v>271</v>
      </c>
      <c r="B220" s="38">
        <v>37.700000000000003</v>
      </c>
      <c r="C220" s="38">
        <v>26.2</v>
      </c>
      <c r="D220" s="38">
        <v>9.8000000000000007</v>
      </c>
      <c r="E220" s="38">
        <v>15.3</v>
      </c>
      <c r="F220" s="38">
        <v>8.6999999999999993</v>
      </c>
      <c r="G220" s="36">
        <v>1318</v>
      </c>
      <c r="H220" s="36">
        <v>793</v>
      </c>
      <c r="I220" s="36">
        <v>230</v>
      </c>
      <c r="J220" s="36">
        <v>248</v>
      </c>
      <c r="K220" s="36">
        <v>46</v>
      </c>
    </row>
    <row r="221" spans="1:11" ht="15" customHeight="1" x14ac:dyDescent="0.25">
      <c r="A221" s="41" t="s">
        <v>272</v>
      </c>
      <c r="B221" s="38">
        <v>46.2</v>
      </c>
      <c r="C221" s="38">
        <v>26.4</v>
      </c>
      <c r="D221" s="38">
        <v>12</v>
      </c>
      <c r="E221" s="38">
        <v>21.7</v>
      </c>
      <c r="F221" s="38" t="s">
        <v>28</v>
      </c>
      <c r="G221" s="36">
        <v>71</v>
      </c>
      <c r="H221" s="36">
        <v>37</v>
      </c>
      <c r="I221" s="36">
        <v>15</v>
      </c>
      <c r="J221" s="36">
        <v>16</v>
      </c>
      <c r="K221" s="36" t="s">
        <v>28</v>
      </c>
    </row>
    <row r="222" spans="1:11" ht="15" customHeight="1" x14ac:dyDescent="0.25">
      <c r="A222" s="41" t="s">
        <v>173</v>
      </c>
      <c r="B222" s="38">
        <v>35.9</v>
      </c>
      <c r="C222" s="38" t="s">
        <v>28</v>
      </c>
      <c r="D222" s="38" t="s">
        <v>28</v>
      </c>
      <c r="E222" s="38" t="s">
        <v>28</v>
      </c>
      <c r="F222" s="38" t="s">
        <v>28</v>
      </c>
      <c r="G222" s="36">
        <v>10</v>
      </c>
      <c r="H222" s="36" t="s">
        <v>28</v>
      </c>
      <c r="I222" s="36" t="s">
        <v>28</v>
      </c>
      <c r="J222" s="36" t="s">
        <v>28</v>
      </c>
      <c r="K222" s="36" t="s">
        <v>28</v>
      </c>
    </row>
    <row r="223" spans="1:11" ht="33.950000000000003" customHeight="1" x14ac:dyDescent="0.25">
      <c r="A223" s="40" t="s">
        <v>273</v>
      </c>
      <c r="B223" s="47" t="s">
        <v>16</v>
      </c>
      <c r="C223" s="47" t="s">
        <v>16</v>
      </c>
      <c r="D223" s="47" t="s">
        <v>16</v>
      </c>
      <c r="E223" s="47" t="s">
        <v>16</v>
      </c>
      <c r="F223" s="47" t="s">
        <v>16</v>
      </c>
      <c r="G223" s="45" t="s">
        <v>16</v>
      </c>
      <c r="H223" s="45" t="s">
        <v>16</v>
      </c>
      <c r="I223" s="45" t="s">
        <v>16</v>
      </c>
      <c r="J223" s="45" t="s">
        <v>16</v>
      </c>
      <c r="K223" s="45" t="s">
        <v>16</v>
      </c>
    </row>
    <row r="224" spans="1:11" ht="15" customHeight="1" x14ac:dyDescent="0.25">
      <c r="A224" s="35" t="s">
        <v>274</v>
      </c>
      <c r="B224" s="44">
        <v>37.5</v>
      </c>
      <c r="C224" s="44">
        <v>25.8</v>
      </c>
      <c r="D224" s="44">
        <v>11.6</v>
      </c>
      <c r="E224" s="44">
        <v>14.4</v>
      </c>
      <c r="F224" s="44">
        <v>6.7</v>
      </c>
      <c r="G224" s="42">
        <v>790</v>
      </c>
      <c r="H224" s="42">
        <v>481</v>
      </c>
      <c r="I224" s="42">
        <v>161</v>
      </c>
      <c r="J224" s="42">
        <v>129</v>
      </c>
      <c r="K224" s="42">
        <v>19</v>
      </c>
    </row>
    <row r="225" spans="1:11" ht="15" customHeight="1" x14ac:dyDescent="0.25">
      <c r="A225" s="35" t="s">
        <v>275</v>
      </c>
      <c r="B225" s="44">
        <v>38.200000000000003</v>
      </c>
      <c r="C225" s="44">
        <v>26.7</v>
      </c>
      <c r="D225" s="44">
        <v>11.7</v>
      </c>
      <c r="E225" s="44">
        <v>14.4</v>
      </c>
      <c r="F225" s="44">
        <v>7.4</v>
      </c>
      <c r="G225" s="42">
        <v>882</v>
      </c>
      <c r="H225" s="42">
        <v>532</v>
      </c>
      <c r="I225" s="42">
        <v>181</v>
      </c>
      <c r="J225" s="42">
        <v>145</v>
      </c>
      <c r="K225" s="42">
        <v>23</v>
      </c>
    </row>
    <row r="226" spans="1:11" ht="24" customHeight="1" x14ac:dyDescent="0.25">
      <c r="A226" s="40" t="s">
        <v>276</v>
      </c>
      <c r="B226" s="47" t="s">
        <v>16</v>
      </c>
      <c r="C226" s="47" t="s">
        <v>16</v>
      </c>
      <c r="D226" s="47" t="s">
        <v>16</v>
      </c>
      <c r="E226" s="47" t="s">
        <v>16</v>
      </c>
      <c r="F226" s="47" t="s">
        <v>16</v>
      </c>
      <c r="G226" s="45" t="s">
        <v>16</v>
      </c>
      <c r="H226" s="45" t="s">
        <v>16</v>
      </c>
      <c r="I226" s="45" t="s">
        <v>16</v>
      </c>
      <c r="J226" s="45" t="s">
        <v>16</v>
      </c>
      <c r="K226" s="45" t="s">
        <v>16</v>
      </c>
    </row>
    <row r="227" spans="1:11" ht="15" customHeight="1" x14ac:dyDescent="0.25">
      <c r="A227" s="35" t="s">
        <v>277</v>
      </c>
      <c r="B227" s="44">
        <v>41.6</v>
      </c>
      <c r="C227" s="44">
        <v>28.8</v>
      </c>
      <c r="D227" s="44">
        <v>11.4</v>
      </c>
      <c r="E227" s="44">
        <v>19.600000000000001</v>
      </c>
      <c r="F227" s="44">
        <v>6.8</v>
      </c>
      <c r="G227" s="42">
        <v>1414</v>
      </c>
      <c r="H227" s="42">
        <v>839</v>
      </c>
      <c r="I227" s="42">
        <v>283</v>
      </c>
      <c r="J227" s="42">
        <v>257</v>
      </c>
      <c r="K227" s="42">
        <v>35</v>
      </c>
    </row>
    <row r="228" spans="1:11" ht="15" customHeight="1" x14ac:dyDescent="0.25">
      <c r="A228" s="35" t="s">
        <v>278</v>
      </c>
      <c r="B228" s="44">
        <v>31.3</v>
      </c>
      <c r="C228" s="44">
        <v>23</v>
      </c>
      <c r="D228" s="44">
        <v>9.1999999999999993</v>
      </c>
      <c r="E228" s="44">
        <v>14.9</v>
      </c>
      <c r="F228" s="44">
        <v>25.5</v>
      </c>
      <c r="G228" s="42">
        <v>257</v>
      </c>
      <c r="H228" s="42">
        <v>153</v>
      </c>
      <c r="I228" s="42">
        <v>38</v>
      </c>
      <c r="J228" s="42">
        <v>37</v>
      </c>
      <c r="K228" s="42" t="s">
        <v>28</v>
      </c>
    </row>
    <row r="229" spans="1:11" ht="27.95" customHeight="1" x14ac:dyDescent="0.25">
      <c r="A229" s="41" t="s">
        <v>279</v>
      </c>
      <c r="B229" s="44">
        <v>36.4</v>
      </c>
      <c r="C229" s="44">
        <v>25.9</v>
      </c>
      <c r="D229" s="44">
        <v>9.8000000000000007</v>
      </c>
      <c r="E229" s="44">
        <v>10.9</v>
      </c>
      <c r="F229" s="44">
        <v>9.1999999999999993</v>
      </c>
      <c r="G229" s="42">
        <v>539</v>
      </c>
      <c r="H229" s="42">
        <v>311</v>
      </c>
      <c r="I229" s="42">
        <v>104</v>
      </c>
      <c r="J229" s="42">
        <v>99</v>
      </c>
      <c r="K229" s="42">
        <v>25</v>
      </c>
    </row>
    <row r="230" spans="1:11" ht="45.95" customHeight="1" x14ac:dyDescent="0.25">
      <c r="A230" s="40" t="s">
        <v>317</v>
      </c>
      <c r="B230" s="34" t="s">
        <v>16</v>
      </c>
      <c r="C230" s="34" t="s">
        <v>16</v>
      </c>
      <c r="D230" s="34" t="s">
        <v>16</v>
      </c>
      <c r="E230" s="34" t="s">
        <v>16</v>
      </c>
      <c r="F230" s="34" t="s">
        <v>16</v>
      </c>
      <c r="G230" s="32" t="s">
        <v>16</v>
      </c>
      <c r="H230" s="32" t="s">
        <v>16</v>
      </c>
      <c r="I230" s="32" t="s">
        <v>16</v>
      </c>
      <c r="J230" s="32" t="s">
        <v>16</v>
      </c>
      <c r="K230" s="32" t="s">
        <v>16</v>
      </c>
    </row>
    <row r="231" spans="1:11" ht="15" customHeight="1" x14ac:dyDescent="0.25">
      <c r="A231" s="35" t="s">
        <v>318</v>
      </c>
      <c r="B231" s="44">
        <v>46.3</v>
      </c>
      <c r="C231" s="44">
        <v>32.200000000000003</v>
      </c>
      <c r="D231" s="44">
        <v>10.199999999999999</v>
      </c>
      <c r="E231" s="44">
        <v>13.9</v>
      </c>
      <c r="F231" s="44">
        <v>7.8</v>
      </c>
      <c r="G231" s="42">
        <v>364</v>
      </c>
      <c r="H231" s="42">
        <v>196</v>
      </c>
      <c r="I231" s="42">
        <v>60</v>
      </c>
      <c r="J231" s="42">
        <v>93</v>
      </c>
      <c r="K231" s="42">
        <v>15</v>
      </c>
    </row>
    <row r="232" spans="1:11" ht="15" customHeight="1" x14ac:dyDescent="0.25">
      <c r="A232" s="41" t="s">
        <v>319</v>
      </c>
      <c r="B232" s="44">
        <v>44.5</v>
      </c>
      <c r="C232" s="44">
        <v>27.2</v>
      </c>
      <c r="D232" s="44">
        <v>13.4</v>
      </c>
      <c r="E232" s="44">
        <v>16.2</v>
      </c>
      <c r="F232" s="44">
        <v>8.1</v>
      </c>
      <c r="G232" s="42">
        <v>372</v>
      </c>
      <c r="H232" s="42">
        <v>166</v>
      </c>
      <c r="I232" s="42">
        <v>72</v>
      </c>
      <c r="J232" s="42">
        <v>121</v>
      </c>
      <c r="K232" s="42">
        <v>13</v>
      </c>
    </row>
    <row r="233" spans="1:11" ht="15" customHeight="1" x14ac:dyDescent="0.25">
      <c r="A233" s="41" t="s">
        <v>320</v>
      </c>
      <c r="B233" s="44">
        <v>45</v>
      </c>
      <c r="C233" s="44">
        <v>30.3</v>
      </c>
      <c r="D233" s="44">
        <v>13.2</v>
      </c>
      <c r="E233" s="44">
        <v>10.7</v>
      </c>
      <c r="F233" s="44">
        <v>7.3</v>
      </c>
      <c r="G233" s="42">
        <v>587</v>
      </c>
      <c r="H233" s="42">
        <v>305</v>
      </c>
      <c r="I233" s="42">
        <v>138</v>
      </c>
      <c r="J233" s="42">
        <v>123</v>
      </c>
      <c r="K233" s="42">
        <v>22</v>
      </c>
    </row>
    <row r="234" spans="1:11" ht="27.95" customHeight="1" x14ac:dyDescent="0.25">
      <c r="A234" s="41" t="s">
        <v>321</v>
      </c>
      <c r="B234" s="44">
        <v>47.8</v>
      </c>
      <c r="C234" s="44">
        <v>30</v>
      </c>
      <c r="D234" s="44">
        <v>15.1</v>
      </c>
      <c r="E234" s="44">
        <v>11.1</v>
      </c>
      <c r="F234" s="44">
        <v>7.9</v>
      </c>
      <c r="G234" s="42">
        <v>673</v>
      </c>
      <c r="H234" s="42">
        <v>335</v>
      </c>
      <c r="I234" s="42">
        <v>171</v>
      </c>
      <c r="J234" s="42">
        <v>141</v>
      </c>
      <c r="K234" s="42">
        <v>25</v>
      </c>
    </row>
    <row r="235" spans="1:11" ht="15" customHeight="1" x14ac:dyDescent="0.25">
      <c r="A235" s="41" t="s">
        <v>322</v>
      </c>
      <c r="B235" s="44">
        <v>37.6</v>
      </c>
      <c r="C235" s="44">
        <v>27.4</v>
      </c>
      <c r="D235" s="44">
        <v>9.3000000000000007</v>
      </c>
      <c r="E235" s="44">
        <v>10.8</v>
      </c>
      <c r="F235" s="44">
        <v>6.3</v>
      </c>
      <c r="G235" s="42">
        <v>409</v>
      </c>
      <c r="H235" s="42">
        <v>243</v>
      </c>
      <c r="I235" s="42">
        <v>74</v>
      </c>
      <c r="J235" s="42">
        <v>80</v>
      </c>
      <c r="K235" s="42">
        <v>12</v>
      </c>
    </row>
    <row r="236" spans="1:11" s="49" customFormat="1" ht="33.950000000000003" customHeight="1" x14ac:dyDescent="0.25">
      <c r="A236" s="40" t="s">
        <v>327</v>
      </c>
      <c r="B236" s="47" t="s">
        <v>16</v>
      </c>
      <c r="C236" s="47" t="s">
        <v>16</v>
      </c>
      <c r="D236" s="47" t="s">
        <v>16</v>
      </c>
      <c r="E236" s="47" t="s">
        <v>16</v>
      </c>
      <c r="F236" s="47" t="s">
        <v>16</v>
      </c>
      <c r="G236" s="45" t="s">
        <v>16</v>
      </c>
      <c r="H236" s="45" t="s">
        <v>16</v>
      </c>
      <c r="I236" s="45" t="s">
        <v>16</v>
      </c>
      <c r="J236" s="45" t="s">
        <v>16</v>
      </c>
      <c r="K236" s="45" t="s">
        <v>16</v>
      </c>
    </row>
    <row r="237" spans="1:11" s="49" customFormat="1" ht="15" customHeight="1" x14ac:dyDescent="0.25">
      <c r="A237" s="41" t="s">
        <v>328</v>
      </c>
      <c r="B237" s="44">
        <v>41.1</v>
      </c>
      <c r="C237" s="44">
        <v>28.7</v>
      </c>
      <c r="D237" s="44">
        <v>9.6999999999999993</v>
      </c>
      <c r="E237" s="44">
        <v>13.1</v>
      </c>
      <c r="F237" s="44">
        <v>12</v>
      </c>
      <c r="G237" s="42">
        <v>1015</v>
      </c>
      <c r="H237" s="42">
        <v>602</v>
      </c>
      <c r="I237" s="42">
        <v>172</v>
      </c>
      <c r="J237" s="42">
        <v>177</v>
      </c>
      <c r="K237" s="42">
        <v>65</v>
      </c>
    </row>
    <row r="238" spans="1:11" s="49" customFormat="1" ht="15" customHeight="1" x14ac:dyDescent="0.25">
      <c r="A238" s="41" t="s">
        <v>329</v>
      </c>
      <c r="B238" s="44">
        <v>39.299999999999997</v>
      </c>
      <c r="C238" s="44">
        <v>27.5</v>
      </c>
      <c r="D238" s="44">
        <v>10.7</v>
      </c>
      <c r="E238" s="44">
        <v>15.2</v>
      </c>
      <c r="F238" s="44">
        <v>10.1</v>
      </c>
      <c r="G238" s="42">
        <v>1991</v>
      </c>
      <c r="H238" s="42">
        <v>1177</v>
      </c>
      <c r="I238" s="42">
        <v>376</v>
      </c>
      <c r="J238" s="42">
        <v>351</v>
      </c>
      <c r="K238" s="42">
        <v>86</v>
      </c>
    </row>
    <row r="239" spans="1:11" s="49" customFormat="1" ht="15" customHeight="1" x14ac:dyDescent="0.25">
      <c r="A239" s="41" t="s">
        <v>330</v>
      </c>
      <c r="B239" s="44">
        <v>39.5</v>
      </c>
      <c r="C239" s="44">
        <v>28.6</v>
      </c>
      <c r="D239" s="44">
        <v>10</v>
      </c>
      <c r="E239" s="44">
        <v>11.6</v>
      </c>
      <c r="F239" s="44">
        <v>11.4</v>
      </c>
      <c r="G239" s="42">
        <v>1100</v>
      </c>
      <c r="H239" s="42">
        <v>644</v>
      </c>
      <c r="I239" s="42">
        <v>198</v>
      </c>
      <c r="J239" s="42">
        <v>186</v>
      </c>
      <c r="K239" s="42">
        <v>72</v>
      </c>
    </row>
    <row r="240" spans="1:11" s="49" customFormat="1" ht="45.95" customHeight="1" x14ac:dyDescent="0.25">
      <c r="A240" s="40" t="s">
        <v>331</v>
      </c>
      <c r="B240" s="47" t="s">
        <v>16</v>
      </c>
      <c r="C240" s="47" t="s">
        <v>16</v>
      </c>
      <c r="D240" s="47" t="s">
        <v>16</v>
      </c>
      <c r="E240" s="47" t="s">
        <v>16</v>
      </c>
      <c r="F240" s="47" t="s">
        <v>16</v>
      </c>
      <c r="G240" s="45" t="s">
        <v>16</v>
      </c>
      <c r="H240" s="45" t="s">
        <v>16</v>
      </c>
      <c r="I240" s="45" t="s">
        <v>16</v>
      </c>
      <c r="J240" s="45" t="s">
        <v>16</v>
      </c>
      <c r="K240" s="45" t="s">
        <v>16</v>
      </c>
    </row>
    <row r="241" spans="1:11" s="49" customFormat="1" ht="15" customHeight="1" x14ac:dyDescent="0.25">
      <c r="A241" s="35" t="s">
        <v>332</v>
      </c>
      <c r="B241" s="44">
        <v>40</v>
      </c>
      <c r="C241" s="44">
        <v>28.3</v>
      </c>
      <c r="D241" s="44">
        <v>10.7</v>
      </c>
      <c r="E241" s="44">
        <v>15.9</v>
      </c>
      <c r="F241" s="44">
        <v>9.1999999999999993</v>
      </c>
      <c r="G241" s="42">
        <v>1752</v>
      </c>
      <c r="H241" s="42">
        <v>1054</v>
      </c>
      <c r="I241" s="42">
        <v>318</v>
      </c>
      <c r="J241" s="42">
        <v>311</v>
      </c>
      <c r="K241" s="42">
        <v>69</v>
      </c>
    </row>
    <row r="242" spans="1:11" s="49" customFormat="1" ht="15" customHeight="1" x14ac:dyDescent="0.25">
      <c r="A242" s="35" t="s">
        <v>333</v>
      </c>
      <c r="B242" s="44">
        <v>39.5</v>
      </c>
      <c r="C242" s="44">
        <v>26.8</v>
      </c>
      <c r="D242" s="44">
        <v>10.7</v>
      </c>
      <c r="E242" s="44">
        <v>16</v>
      </c>
      <c r="F242" s="44">
        <v>12.8</v>
      </c>
      <c r="G242" s="42">
        <v>1290</v>
      </c>
      <c r="H242" s="42">
        <v>743</v>
      </c>
      <c r="I242" s="42">
        <v>243</v>
      </c>
      <c r="J242" s="42">
        <v>239</v>
      </c>
      <c r="K242" s="42">
        <v>64</v>
      </c>
    </row>
    <row r="243" spans="1:11" s="49" customFormat="1" ht="15" customHeight="1" x14ac:dyDescent="0.25">
      <c r="A243" s="35" t="s">
        <v>334</v>
      </c>
      <c r="B243" s="44">
        <v>44.9</v>
      </c>
      <c r="C243" s="44">
        <v>29.6</v>
      </c>
      <c r="D243" s="44">
        <v>11.1</v>
      </c>
      <c r="E243" s="44">
        <v>19.899999999999999</v>
      </c>
      <c r="F243" s="44">
        <v>9.9</v>
      </c>
      <c r="G243" s="42">
        <v>541</v>
      </c>
      <c r="H243" s="42">
        <v>298</v>
      </c>
      <c r="I243" s="42">
        <v>97</v>
      </c>
      <c r="J243" s="42">
        <v>127</v>
      </c>
      <c r="K243" s="42">
        <v>20</v>
      </c>
    </row>
    <row r="244" spans="1:11" s="49" customFormat="1" ht="15" customHeight="1" x14ac:dyDescent="0.25">
      <c r="A244" s="41" t="s">
        <v>335</v>
      </c>
      <c r="B244" s="44">
        <v>44.4</v>
      </c>
      <c r="C244" s="44">
        <v>28.2</v>
      </c>
      <c r="D244" s="44">
        <v>12.4</v>
      </c>
      <c r="E244" s="44">
        <v>21</v>
      </c>
      <c r="F244" s="44">
        <v>11.8</v>
      </c>
      <c r="G244" s="42">
        <v>1030</v>
      </c>
      <c r="H244" s="42">
        <v>547</v>
      </c>
      <c r="I244" s="42">
        <v>196</v>
      </c>
      <c r="J244" s="42">
        <v>246</v>
      </c>
      <c r="K244" s="42">
        <v>41</v>
      </c>
    </row>
    <row r="245" spans="1:11" s="49" customFormat="1" ht="15" customHeight="1" x14ac:dyDescent="0.25">
      <c r="A245" s="41" t="s">
        <v>336</v>
      </c>
      <c r="B245" s="44">
        <v>40.6</v>
      </c>
      <c r="C245" s="44">
        <v>28</v>
      </c>
      <c r="D245" s="44">
        <v>10.5</v>
      </c>
      <c r="E245" s="44">
        <v>15.7</v>
      </c>
      <c r="F245" s="44">
        <v>13.7</v>
      </c>
      <c r="G245" s="42">
        <v>681</v>
      </c>
      <c r="H245" s="42">
        <v>377</v>
      </c>
      <c r="I245" s="42">
        <v>117</v>
      </c>
      <c r="J245" s="42">
        <v>137</v>
      </c>
      <c r="K245" s="42">
        <v>49</v>
      </c>
    </row>
    <row r="246" spans="1:11" s="49" customFormat="1" ht="15" customHeight="1" x14ac:dyDescent="0.25">
      <c r="A246" s="41" t="s">
        <v>337</v>
      </c>
      <c r="B246" s="44">
        <v>40.1</v>
      </c>
      <c r="C246" s="44">
        <v>28.1</v>
      </c>
      <c r="D246" s="44">
        <v>9.8000000000000007</v>
      </c>
      <c r="E246" s="44">
        <v>14.6</v>
      </c>
      <c r="F246" s="44">
        <v>8.9</v>
      </c>
      <c r="G246" s="42">
        <v>927</v>
      </c>
      <c r="H246" s="42">
        <v>538</v>
      </c>
      <c r="I246" s="42">
        <v>161</v>
      </c>
      <c r="J246" s="42">
        <v>188</v>
      </c>
      <c r="K246" s="42">
        <v>40</v>
      </c>
    </row>
    <row r="247" spans="1:11" s="49" customFormat="1" ht="15" customHeight="1" x14ac:dyDescent="0.25">
      <c r="A247" s="35" t="s">
        <v>338</v>
      </c>
      <c r="B247" s="44">
        <v>39.6</v>
      </c>
      <c r="C247" s="44">
        <v>28.8</v>
      </c>
      <c r="D247" s="44">
        <v>9.6</v>
      </c>
      <c r="E247" s="44">
        <v>12.6</v>
      </c>
      <c r="F247" s="44">
        <v>12</v>
      </c>
      <c r="G247" s="42">
        <v>1067</v>
      </c>
      <c r="H247" s="42">
        <v>647</v>
      </c>
      <c r="I247" s="42">
        <v>178</v>
      </c>
      <c r="J247" s="42">
        <v>175</v>
      </c>
      <c r="K247" s="42">
        <v>67</v>
      </c>
    </row>
    <row r="248" spans="1:11" s="49" customFormat="1" ht="15" customHeight="1" x14ac:dyDescent="0.25">
      <c r="A248" s="35" t="s">
        <v>339</v>
      </c>
      <c r="B248" s="44">
        <v>49</v>
      </c>
      <c r="C248" s="44">
        <v>28.6</v>
      </c>
      <c r="D248" s="44">
        <v>13.2</v>
      </c>
      <c r="E248" s="44">
        <v>19.5</v>
      </c>
      <c r="F248" s="44">
        <v>16.600000000000001</v>
      </c>
      <c r="G248" s="42">
        <v>573</v>
      </c>
      <c r="H248" s="42">
        <v>273</v>
      </c>
      <c r="I248" s="42">
        <v>115</v>
      </c>
      <c r="J248" s="42">
        <v>155</v>
      </c>
      <c r="K248" s="42">
        <v>31</v>
      </c>
    </row>
    <row r="249" spans="1:11" s="49" customFormat="1" ht="15" customHeight="1" x14ac:dyDescent="0.25">
      <c r="A249" s="41" t="s">
        <v>340</v>
      </c>
      <c r="B249" s="44">
        <v>40.1</v>
      </c>
      <c r="C249" s="44">
        <v>28.7</v>
      </c>
      <c r="D249" s="44">
        <v>7.7</v>
      </c>
      <c r="E249" s="44">
        <v>10.1</v>
      </c>
      <c r="F249" s="44">
        <v>18.100000000000001</v>
      </c>
      <c r="G249" s="42">
        <v>197</v>
      </c>
      <c r="H249" s="42">
        <v>116</v>
      </c>
      <c r="I249" s="42">
        <v>25</v>
      </c>
      <c r="J249" s="42">
        <v>32</v>
      </c>
      <c r="K249" s="42" t="s">
        <v>28</v>
      </c>
    </row>
    <row r="250" spans="1:11" s="49" customFormat="1" ht="15" customHeight="1" x14ac:dyDescent="0.25">
      <c r="A250" s="41" t="s">
        <v>341</v>
      </c>
      <c r="B250" s="44">
        <v>34.6</v>
      </c>
      <c r="C250" s="44">
        <v>20.399999999999999</v>
      </c>
      <c r="D250" s="44">
        <v>10.7</v>
      </c>
      <c r="E250" s="44">
        <v>12.9</v>
      </c>
      <c r="F250" s="44">
        <v>8</v>
      </c>
      <c r="G250" s="42">
        <v>127</v>
      </c>
      <c r="H250" s="42">
        <v>65</v>
      </c>
      <c r="I250" s="42">
        <v>28</v>
      </c>
      <c r="J250" s="42">
        <v>28</v>
      </c>
      <c r="K250" s="42">
        <v>6</v>
      </c>
    </row>
    <row r="251" spans="1:11" s="49" customFormat="1" ht="27.95" customHeight="1" x14ac:dyDescent="0.25">
      <c r="A251" s="41" t="s">
        <v>808</v>
      </c>
      <c r="B251" s="44">
        <v>35.6</v>
      </c>
      <c r="C251" s="44">
        <v>25.8</v>
      </c>
      <c r="D251" s="44">
        <v>7.5</v>
      </c>
      <c r="E251" s="44">
        <v>9.9</v>
      </c>
      <c r="F251" s="44">
        <v>7.4</v>
      </c>
      <c r="G251" s="42">
        <v>335</v>
      </c>
      <c r="H251" s="42">
        <v>205</v>
      </c>
      <c r="I251" s="42">
        <v>51</v>
      </c>
      <c r="J251" s="42">
        <v>61</v>
      </c>
      <c r="K251" s="42">
        <v>18</v>
      </c>
    </row>
    <row r="252" spans="1:11" s="49" customFormat="1" ht="45.95" customHeight="1" x14ac:dyDescent="0.25">
      <c r="A252" s="40" t="s">
        <v>343</v>
      </c>
      <c r="B252" s="47" t="s">
        <v>16</v>
      </c>
      <c r="C252" s="47" t="s">
        <v>16</v>
      </c>
      <c r="D252" s="47" t="s">
        <v>16</v>
      </c>
      <c r="E252" s="47" t="s">
        <v>16</v>
      </c>
      <c r="F252" s="47" t="s">
        <v>16</v>
      </c>
      <c r="G252" s="45" t="s">
        <v>16</v>
      </c>
      <c r="H252" s="45" t="s">
        <v>16</v>
      </c>
      <c r="I252" s="45" t="s">
        <v>16</v>
      </c>
      <c r="J252" s="45" t="s">
        <v>16</v>
      </c>
      <c r="K252" s="45" t="s">
        <v>16</v>
      </c>
    </row>
    <row r="253" spans="1:11" s="49" customFormat="1" ht="15" customHeight="1" x14ac:dyDescent="0.25">
      <c r="A253" s="35" t="s">
        <v>274</v>
      </c>
      <c r="B253" s="44">
        <v>35.799999999999997</v>
      </c>
      <c r="C253" s="44">
        <v>25.6</v>
      </c>
      <c r="D253" s="44">
        <v>8.9</v>
      </c>
      <c r="E253" s="44">
        <v>14.2</v>
      </c>
      <c r="F253" s="44">
        <v>9.3000000000000007</v>
      </c>
      <c r="G253" s="42">
        <v>1675</v>
      </c>
      <c r="H253" s="42">
        <v>1039</v>
      </c>
      <c r="I253" s="42">
        <v>283</v>
      </c>
      <c r="J253" s="42">
        <v>284</v>
      </c>
      <c r="K253" s="42">
        <v>71</v>
      </c>
    </row>
    <row r="254" spans="1:11" s="49" customFormat="1" ht="15" customHeight="1" x14ac:dyDescent="0.25">
      <c r="A254" s="35" t="s">
        <v>275</v>
      </c>
      <c r="B254" s="44">
        <v>35.9</v>
      </c>
      <c r="C254" s="44">
        <v>25.6</v>
      </c>
      <c r="D254" s="44">
        <v>9.4</v>
      </c>
      <c r="E254" s="44">
        <v>14.4</v>
      </c>
      <c r="F254" s="44">
        <v>9.3000000000000007</v>
      </c>
      <c r="G254" s="42">
        <v>1644</v>
      </c>
      <c r="H254" s="42">
        <v>996</v>
      </c>
      <c r="I254" s="42">
        <v>293</v>
      </c>
      <c r="J254" s="42">
        <v>287</v>
      </c>
      <c r="K254" s="42">
        <v>68</v>
      </c>
    </row>
    <row r="255" spans="1:11" s="49" customFormat="1" ht="15" customHeight="1" x14ac:dyDescent="0.25">
      <c r="A255" s="35" t="s">
        <v>344</v>
      </c>
      <c r="B255" s="44">
        <v>38.299999999999997</v>
      </c>
      <c r="C255" s="44">
        <v>27.1</v>
      </c>
      <c r="D255" s="44">
        <v>10.4</v>
      </c>
      <c r="E255" s="44">
        <v>15.9</v>
      </c>
      <c r="F255" s="44">
        <v>10.1</v>
      </c>
      <c r="G255" s="42">
        <v>2105</v>
      </c>
      <c r="H255" s="42">
        <v>1267</v>
      </c>
      <c r="I255" s="42">
        <v>387</v>
      </c>
      <c r="J255" s="42">
        <v>366</v>
      </c>
      <c r="K255" s="42">
        <v>85</v>
      </c>
    </row>
    <row r="256" spans="1:11" ht="33.950000000000003" customHeight="1" x14ac:dyDescent="0.25">
      <c r="A256" s="31" t="s">
        <v>362</v>
      </c>
      <c r="B256" s="34" t="s">
        <v>16</v>
      </c>
      <c r="C256" s="34" t="s">
        <v>16</v>
      </c>
      <c r="D256" s="34" t="s">
        <v>16</v>
      </c>
      <c r="E256" s="34" t="s">
        <v>16</v>
      </c>
      <c r="F256" s="34" t="s">
        <v>16</v>
      </c>
      <c r="G256" s="32" t="s">
        <v>16</v>
      </c>
      <c r="H256" s="32" t="s">
        <v>16</v>
      </c>
      <c r="I256" s="32" t="s">
        <v>16</v>
      </c>
      <c r="J256" s="32" t="s">
        <v>16</v>
      </c>
      <c r="K256" s="32" t="s">
        <v>16</v>
      </c>
    </row>
    <row r="257" spans="1:11" ht="15" customHeight="1" x14ac:dyDescent="0.25">
      <c r="A257" s="35" t="s">
        <v>363</v>
      </c>
      <c r="B257" s="38">
        <v>7.6</v>
      </c>
      <c r="C257" s="38">
        <v>8.3000000000000007</v>
      </c>
      <c r="D257" s="38">
        <v>1.7</v>
      </c>
      <c r="E257" s="38">
        <v>3.4</v>
      </c>
      <c r="F257" s="38" t="s">
        <v>28</v>
      </c>
      <c r="G257" s="36">
        <v>53</v>
      </c>
      <c r="H257" s="36">
        <v>44</v>
      </c>
      <c r="I257" s="36">
        <v>5</v>
      </c>
      <c r="J257" s="36">
        <v>2</v>
      </c>
      <c r="K257" s="36">
        <v>1</v>
      </c>
    </row>
    <row r="258" spans="1:11" ht="15" customHeight="1" x14ac:dyDescent="0.25">
      <c r="A258" s="35" t="s">
        <v>102</v>
      </c>
      <c r="B258" s="38">
        <v>21.1</v>
      </c>
      <c r="C258" s="38">
        <v>18.399999999999999</v>
      </c>
      <c r="D258" s="38">
        <v>4.4000000000000004</v>
      </c>
      <c r="E258" s="38">
        <v>10.9</v>
      </c>
      <c r="F258" s="38">
        <v>3.9</v>
      </c>
      <c r="G258" s="36">
        <v>282</v>
      </c>
      <c r="H258" s="36">
        <v>213</v>
      </c>
      <c r="I258" s="36">
        <v>34</v>
      </c>
      <c r="J258" s="36">
        <v>31</v>
      </c>
      <c r="K258" s="36">
        <v>4</v>
      </c>
    </row>
    <row r="259" spans="1:11" ht="15" customHeight="1" x14ac:dyDescent="0.25">
      <c r="A259" s="35" t="s">
        <v>364</v>
      </c>
      <c r="B259" s="38">
        <v>29.7</v>
      </c>
      <c r="C259" s="38">
        <v>22.2</v>
      </c>
      <c r="D259" s="38">
        <v>8.1999999999999993</v>
      </c>
      <c r="E259" s="38">
        <v>16.399999999999999</v>
      </c>
      <c r="F259" s="38">
        <v>4.7</v>
      </c>
      <c r="G259" s="36">
        <v>238</v>
      </c>
      <c r="H259" s="36">
        <v>145</v>
      </c>
      <c r="I259" s="36">
        <v>41</v>
      </c>
      <c r="J259" s="36">
        <v>48</v>
      </c>
      <c r="K259" s="36">
        <v>4</v>
      </c>
    </row>
    <row r="260" spans="1:11" ht="15" customHeight="1" x14ac:dyDescent="0.25">
      <c r="A260" s="35" t="s">
        <v>365</v>
      </c>
      <c r="B260" s="38">
        <v>41.2</v>
      </c>
      <c r="C260" s="38">
        <v>26.1</v>
      </c>
      <c r="D260" s="38">
        <v>12.8</v>
      </c>
      <c r="E260" s="38">
        <v>18.8</v>
      </c>
      <c r="F260" s="38">
        <v>6.5</v>
      </c>
      <c r="G260" s="36">
        <v>459</v>
      </c>
      <c r="H260" s="36">
        <v>243</v>
      </c>
      <c r="I260" s="36">
        <v>100</v>
      </c>
      <c r="J260" s="36">
        <v>106</v>
      </c>
      <c r="K260" s="36">
        <v>10</v>
      </c>
    </row>
    <row r="261" spans="1:11" ht="15" customHeight="1" x14ac:dyDescent="0.25">
      <c r="A261" s="35" t="s">
        <v>105</v>
      </c>
      <c r="B261" s="38">
        <v>43.5</v>
      </c>
      <c r="C261" s="38">
        <v>30.9</v>
      </c>
      <c r="D261" s="38">
        <v>12</v>
      </c>
      <c r="E261" s="38">
        <v>11.7</v>
      </c>
      <c r="F261" s="38">
        <v>6.1</v>
      </c>
      <c r="G261" s="36">
        <v>311</v>
      </c>
      <c r="H261" s="36">
        <v>191</v>
      </c>
      <c r="I261" s="36">
        <v>67</v>
      </c>
      <c r="J261" s="36">
        <v>44</v>
      </c>
      <c r="K261" s="36">
        <v>9</v>
      </c>
    </row>
    <row r="262" spans="1:11" ht="15" customHeight="1" x14ac:dyDescent="0.25">
      <c r="A262" s="35" t="s">
        <v>348</v>
      </c>
      <c r="B262" s="38">
        <v>54</v>
      </c>
      <c r="C262" s="38">
        <v>32.1</v>
      </c>
      <c r="D262" s="38">
        <v>14.1</v>
      </c>
      <c r="E262" s="38">
        <v>14.6</v>
      </c>
      <c r="F262" s="38">
        <v>9.6</v>
      </c>
      <c r="G262" s="36">
        <v>285</v>
      </c>
      <c r="H262" s="36">
        <v>154</v>
      </c>
      <c r="I262" s="36">
        <v>62</v>
      </c>
      <c r="J262" s="36">
        <v>54</v>
      </c>
      <c r="K262" s="36">
        <v>15</v>
      </c>
    </row>
    <row r="263" spans="1:11" ht="15" customHeight="1" x14ac:dyDescent="0.25">
      <c r="A263" s="35" t="s">
        <v>366</v>
      </c>
      <c r="B263" s="38">
        <v>90.5</v>
      </c>
      <c r="C263" s="38">
        <v>59.3</v>
      </c>
      <c r="D263" s="38">
        <v>20.3</v>
      </c>
      <c r="E263" s="38">
        <v>21</v>
      </c>
      <c r="F263" s="38">
        <v>28.1</v>
      </c>
      <c r="G263" s="36">
        <v>621</v>
      </c>
      <c r="H263" s="36">
        <v>350</v>
      </c>
      <c r="I263" s="36">
        <v>114</v>
      </c>
      <c r="J263" s="36">
        <v>108</v>
      </c>
      <c r="K263" s="36">
        <v>48</v>
      </c>
    </row>
    <row r="264" spans="1:11" ht="15" customHeight="1" thickBot="1" x14ac:dyDescent="0.3">
      <c r="A264" s="85"/>
      <c r="B264" s="264"/>
      <c r="C264" s="263"/>
      <c r="D264" s="263"/>
      <c r="E264" s="263"/>
      <c r="F264" s="263"/>
      <c r="G264" s="264"/>
      <c r="H264" s="263"/>
      <c r="I264" s="263"/>
      <c r="J264" s="263"/>
      <c r="K264" s="263"/>
    </row>
    <row r="265" spans="1:11" ht="198.75" customHeight="1" x14ac:dyDescent="0.25">
      <c r="A265" s="389" t="s">
        <v>821</v>
      </c>
      <c r="B265" s="393"/>
      <c r="C265" s="393"/>
      <c r="D265" s="393"/>
      <c r="E265" s="393"/>
      <c r="F265" s="393"/>
      <c r="G265" s="389"/>
      <c r="H265" s="389"/>
      <c r="I265" s="389"/>
      <c r="J265" s="389"/>
      <c r="K265" s="389"/>
    </row>
  </sheetData>
  <mergeCells count="2">
    <mergeCell ref="G3:K3"/>
    <mergeCell ref="B3:F3"/>
  </mergeCells>
  <pageMargins left="0.7" right="0.7" top="0.6" bottom="0.6" header="0.3" footer="0.3"/>
  <pageSetup scale="61" fitToHeight="0" orientation="portrait" r:id="rId1"/>
  <rowBreaks count="6" manualBreakCount="6">
    <brk id="44" max="16383" man="1"/>
    <brk id="121" max="16383" man="1"/>
    <brk id="155" max="16383" man="1"/>
    <brk id="188" max="16383" man="1"/>
    <brk id="222" max="16383" man="1"/>
    <brk id="251"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16A0-81FF-4186-AD48-0054BD92A218}">
  <dimension ref="A1:I108"/>
  <sheetViews>
    <sheetView topLeftCell="A82" workbookViewId="0"/>
  </sheetViews>
  <sheetFormatPr defaultRowHeight="12.75" x14ac:dyDescent="0.25"/>
  <cols>
    <col min="1" max="1" width="20" style="238" customWidth="1"/>
    <col min="2" max="2" width="50.7109375" style="238" customWidth="1"/>
    <col min="3" max="3" width="33" style="238" customWidth="1"/>
    <col min="4" max="4" width="44.5703125" style="238" customWidth="1"/>
    <col min="5" max="5" width="32" style="238" customWidth="1"/>
    <col min="6" max="6" width="33.85546875" style="238" bestFit="1" customWidth="1"/>
    <col min="7" max="7" width="29" style="238" bestFit="1" customWidth="1"/>
    <col min="8" max="8" width="64" style="238" customWidth="1"/>
    <col min="9" max="9" width="50.85546875" style="238" bestFit="1" customWidth="1"/>
    <col min="10" max="16384" width="9.140625" style="238"/>
  </cols>
  <sheetData>
    <row r="1" spans="1:9" ht="20.25" x14ac:dyDescent="0.25">
      <c r="A1" s="271" t="s">
        <v>822</v>
      </c>
    </row>
    <row r="2" spans="1:9" x14ac:dyDescent="0.25">
      <c r="A2" s="256" t="s">
        <v>823</v>
      </c>
    </row>
    <row r="3" spans="1:9" x14ac:dyDescent="0.25">
      <c r="A3" s="256"/>
    </row>
    <row r="4" spans="1:9" ht="15" customHeight="1" x14ac:dyDescent="0.2">
      <c r="A4" s="173" t="s">
        <v>824</v>
      </c>
      <c r="B4" s="257" t="s">
        <v>825</v>
      </c>
    </row>
    <row r="5" spans="1:9" ht="17.100000000000001" customHeight="1" x14ac:dyDescent="0.25">
      <c r="A5" s="238" t="s">
        <v>826</v>
      </c>
      <c r="B5" s="281" t="s">
        <v>827</v>
      </c>
    </row>
    <row r="6" spans="1:9" ht="15" customHeight="1" thickBot="1" x14ac:dyDescent="0.3"/>
    <row r="7" spans="1:9" ht="21.95" customHeight="1" x14ac:dyDescent="0.25">
      <c r="A7" s="279" t="s">
        <v>828</v>
      </c>
      <c r="B7" s="282"/>
      <c r="C7" s="282"/>
      <c r="D7" s="280"/>
      <c r="E7" s="279" t="s">
        <v>829</v>
      </c>
      <c r="F7" s="282"/>
      <c r="G7" s="282"/>
      <c r="H7" s="279" t="s">
        <v>830</v>
      </c>
      <c r="I7" s="326"/>
    </row>
    <row r="8" spans="1:9" ht="39.950000000000003" customHeight="1" x14ac:dyDescent="0.25">
      <c r="A8" s="283" t="s">
        <v>831</v>
      </c>
      <c r="B8" s="258" t="s">
        <v>832</v>
      </c>
      <c r="C8" s="259" t="s">
        <v>833</v>
      </c>
      <c r="D8" s="284" t="s">
        <v>834</v>
      </c>
      <c r="E8" s="320" t="s">
        <v>835</v>
      </c>
      <c r="F8" s="238" t="s">
        <v>836</v>
      </c>
      <c r="G8" s="278" t="s">
        <v>837</v>
      </c>
      <c r="H8" s="331" t="s">
        <v>838</v>
      </c>
      <c r="I8" s="325" t="s">
        <v>839</v>
      </c>
    </row>
    <row r="9" spans="1:9" ht="25.5" x14ac:dyDescent="0.25">
      <c r="A9" s="285" t="s">
        <v>840</v>
      </c>
      <c r="B9" s="239" t="s">
        <v>841</v>
      </c>
      <c r="C9" s="239" t="s">
        <v>841</v>
      </c>
      <c r="D9" s="286" t="s">
        <v>842</v>
      </c>
      <c r="E9" s="321" t="str">
        <f t="shared" ref="E9:E40" si="0">LEFT(D9,8)</f>
        <v xml:space="preserve">CBECS - </v>
      </c>
      <c r="F9" s="238" t="str">
        <f t="shared" ref="F9:F40" si="1">IFERROR(IF(E9=$E$9,RIGHT(D9,LEN(D9)-8),""),F8)</f>
        <v>Bank/Financial</v>
      </c>
      <c r="G9" s="238" t="str">
        <f t="shared" ref="G9:G40" si="2">IF(A9="",G8,A9)</f>
        <v>Banking/Financial Services</v>
      </c>
      <c r="H9" s="324" t="str">
        <f t="shared" ref="H9:H40" si="3">TRIM(LEFT(C9,IFERROR(FIND("*",C9)-1,LEN(C9))))</f>
        <v>Bank Branch</v>
      </c>
      <c r="I9" s="327" t="s">
        <v>425</v>
      </c>
    </row>
    <row r="10" spans="1:9" x14ac:dyDescent="0.25">
      <c r="A10" s="287"/>
      <c r="B10" s="239" t="s">
        <v>843</v>
      </c>
      <c r="C10" s="239" t="s">
        <v>843</v>
      </c>
      <c r="D10" s="286" t="s">
        <v>844</v>
      </c>
      <c r="E10" s="321" t="str">
        <f t="shared" si="0"/>
        <v xml:space="preserve">CBECS - </v>
      </c>
      <c r="F10" s="238" t="str">
        <f t="shared" si="1"/>
        <v>Office &amp; Bank/Financial</v>
      </c>
      <c r="G10" s="238" t="str">
        <f t="shared" si="2"/>
        <v>Banking/Financial Services</v>
      </c>
      <c r="H10" s="324" t="str">
        <f t="shared" si="3"/>
        <v>Financial Office</v>
      </c>
      <c r="I10" s="327" t="s">
        <v>425</v>
      </c>
    </row>
    <row r="11" spans="1:9" x14ac:dyDescent="0.2">
      <c r="A11" s="288" t="s">
        <v>111</v>
      </c>
      <c r="B11" s="240" t="s">
        <v>845</v>
      </c>
      <c r="C11" s="240" t="s">
        <v>845</v>
      </c>
      <c r="D11" s="289" t="s">
        <v>846</v>
      </c>
      <c r="E11" s="321" t="str">
        <f t="shared" si="0"/>
        <v xml:space="preserve">CBECS - </v>
      </c>
      <c r="F11" s="238" t="str">
        <f t="shared" si="1"/>
        <v>Education</v>
      </c>
      <c r="G11" s="238" t="str">
        <f t="shared" si="2"/>
        <v>Education</v>
      </c>
      <c r="H11" s="324" t="str">
        <f t="shared" si="3"/>
        <v>Adult Education</v>
      </c>
      <c r="I11" s="327" t="s">
        <v>111</v>
      </c>
    </row>
    <row r="12" spans="1:9" x14ac:dyDescent="0.2">
      <c r="A12" s="290"/>
      <c r="B12" s="240" t="s">
        <v>847</v>
      </c>
      <c r="C12" s="240" t="s">
        <v>847</v>
      </c>
      <c r="D12" s="289" t="s">
        <v>848</v>
      </c>
      <c r="E12" s="321" t="str">
        <f t="shared" si="0"/>
        <v xml:space="preserve">CBECS - </v>
      </c>
      <c r="F12" s="238" t="str">
        <f t="shared" si="1"/>
        <v>College/University</v>
      </c>
      <c r="G12" s="238" t="str">
        <f t="shared" si="2"/>
        <v>Education</v>
      </c>
      <c r="H12" s="324" t="str">
        <f t="shared" si="3"/>
        <v>College/University</v>
      </c>
      <c r="I12" s="327" t="s">
        <v>111</v>
      </c>
    </row>
    <row r="13" spans="1:9" x14ac:dyDescent="0.2">
      <c r="A13" s="290"/>
      <c r="B13" s="241" t="s">
        <v>849</v>
      </c>
      <c r="C13" s="241" t="s">
        <v>849</v>
      </c>
      <c r="D13" s="291" t="s">
        <v>850</v>
      </c>
      <c r="E13" s="321" t="str">
        <f t="shared" si="0"/>
        <v xml:space="preserve">CBECS - </v>
      </c>
      <c r="F13" s="238" t="str">
        <f t="shared" si="1"/>
        <v>Elementary/Middle &amp; High School</v>
      </c>
      <c r="G13" s="238" t="str">
        <f t="shared" si="2"/>
        <v>Education</v>
      </c>
      <c r="H13" s="324" t="str">
        <f t="shared" si="3"/>
        <v>K-12 School</v>
      </c>
      <c r="I13" s="327" t="s">
        <v>111</v>
      </c>
    </row>
    <row r="14" spans="1:9" x14ac:dyDescent="0.2">
      <c r="A14" s="290"/>
      <c r="B14" s="240" t="s">
        <v>851</v>
      </c>
      <c r="C14" s="240" t="s">
        <v>851</v>
      </c>
      <c r="D14" s="289" t="s">
        <v>852</v>
      </c>
      <c r="E14" s="321" t="str">
        <f t="shared" si="0"/>
        <v xml:space="preserve">CBECS - </v>
      </c>
      <c r="F14" s="238" t="str">
        <f t="shared" si="1"/>
        <v>Preschool</v>
      </c>
      <c r="G14" s="238" t="str">
        <f t="shared" si="2"/>
        <v>Education</v>
      </c>
      <c r="H14" s="324" t="str">
        <f t="shared" si="3"/>
        <v>Pre-school/Daycare</v>
      </c>
      <c r="I14" s="327" t="s">
        <v>111</v>
      </c>
    </row>
    <row r="15" spans="1:9" x14ac:dyDescent="0.2">
      <c r="A15" s="290"/>
      <c r="B15" s="240" t="s">
        <v>853</v>
      </c>
      <c r="C15" s="240" t="s">
        <v>853</v>
      </c>
      <c r="D15" s="292" t="s">
        <v>846</v>
      </c>
      <c r="E15" s="321" t="str">
        <f t="shared" si="0"/>
        <v xml:space="preserve">CBECS - </v>
      </c>
      <c r="F15" s="238" t="str">
        <f t="shared" si="1"/>
        <v>Education</v>
      </c>
      <c r="G15" s="238" t="str">
        <f t="shared" si="2"/>
        <v>Education</v>
      </c>
      <c r="H15" s="324" t="str">
        <f t="shared" si="3"/>
        <v>Vocational School</v>
      </c>
      <c r="I15" s="327" t="s">
        <v>111</v>
      </c>
    </row>
    <row r="16" spans="1:9" x14ac:dyDescent="0.2">
      <c r="A16" s="293"/>
      <c r="B16" s="240" t="s">
        <v>854</v>
      </c>
      <c r="C16" s="240" t="s">
        <v>854</v>
      </c>
      <c r="D16" s="292" t="s">
        <v>846</v>
      </c>
      <c r="E16" s="321" t="str">
        <f t="shared" si="0"/>
        <v xml:space="preserve">CBECS - </v>
      </c>
      <c r="F16" s="238" t="str">
        <f t="shared" si="1"/>
        <v>Education</v>
      </c>
      <c r="G16" s="238" t="str">
        <f t="shared" si="2"/>
        <v>Education</v>
      </c>
      <c r="H16" s="324" t="str">
        <f t="shared" si="3"/>
        <v>Other - Education</v>
      </c>
      <c r="I16" s="327" t="s">
        <v>111</v>
      </c>
    </row>
    <row r="17" spans="1:9" ht="25.5" x14ac:dyDescent="0.2">
      <c r="A17" s="294" t="s">
        <v>855</v>
      </c>
      <c r="B17" s="243" t="s">
        <v>856</v>
      </c>
      <c r="C17" s="243" t="s">
        <v>856</v>
      </c>
      <c r="D17" s="286" t="s">
        <v>857</v>
      </c>
      <c r="E17" s="321" t="str">
        <f t="shared" si="0"/>
        <v xml:space="preserve">CBECS - </v>
      </c>
      <c r="F17" s="238" t="str">
        <f t="shared" si="1"/>
        <v>Social/Meeting</v>
      </c>
      <c r="G17" s="238" t="str">
        <f t="shared" si="2"/>
        <v>Entertainment/Public Assembly</v>
      </c>
      <c r="H17" s="324" t="str">
        <f t="shared" si="3"/>
        <v>Convention Center</v>
      </c>
      <c r="I17" s="327" t="s">
        <v>427</v>
      </c>
    </row>
    <row r="18" spans="1:9" x14ac:dyDescent="0.2">
      <c r="A18" s="295"/>
      <c r="B18" s="243" t="s">
        <v>858</v>
      </c>
      <c r="C18" s="243" t="s">
        <v>858</v>
      </c>
      <c r="D18" s="296" t="s">
        <v>859</v>
      </c>
      <c r="E18" s="321" t="str">
        <f t="shared" si="0"/>
        <v xml:space="preserve">CBECS - </v>
      </c>
      <c r="F18" s="238" t="str">
        <f t="shared" si="1"/>
        <v>Public Assembly</v>
      </c>
      <c r="G18" s="238" t="str">
        <f t="shared" si="2"/>
        <v>Entertainment/Public Assembly</v>
      </c>
      <c r="H18" s="324" t="str">
        <f t="shared" si="3"/>
        <v>Movie Theater</v>
      </c>
      <c r="I18" s="327" t="s">
        <v>427</v>
      </c>
    </row>
    <row r="19" spans="1:9" x14ac:dyDescent="0.2">
      <c r="A19" s="295"/>
      <c r="B19" s="243" t="s">
        <v>860</v>
      </c>
      <c r="C19" s="243" t="s">
        <v>860</v>
      </c>
      <c r="D19" s="296" t="s">
        <v>859</v>
      </c>
      <c r="E19" s="321" t="str">
        <f t="shared" si="0"/>
        <v xml:space="preserve">CBECS - </v>
      </c>
      <c r="F19" s="238" t="str">
        <f t="shared" si="1"/>
        <v>Public Assembly</v>
      </c>
      <c r="G19" s="238" t="str">
        <f t="shared" si="2"/>
        <v>Entertainment/Public Assembly</v>
      </c>
      <c r="H19" s="324" t="str">
        <f t="shared" si="3"/>
        <v>Museum</v>
      </c>
      <c r="I19" s="327" t="s">
        <v>427</v>
      </c>
    </row>
    <row r="20" spans="1:9" x14ac:dyDescent="0.2">
      <c r="A20" s="295"/>
      <c r="B20" s="243" t="s">
        <v>861</v>
      </c>
      <c r="C20" s="243" t="s">
        <v>861</v>
      </c>
      <c r="D20" s="296" t="s">
        <v>859</v>
      </c>
      <c r="E20" s="321" t="str">
        <f t="shared" si="0"/>
        <v xml:space="preserve">CBECS - </v>
      </c>
      <c r="F20" s="238" t="str">
        <f t="shared" si="1"/>
        <v>Public Assembly</v>
      </c>
      <c r="G20" s="238" t="str">
        <f t="shared" si="2"/>
        <v>Entertainment/Public Assembly</v>
      </c>
      <c r="H20" s="324" t="str">
        <f t="shared" si="3"/>
        <v>Performing Arts</v>
      </c>
      <c r="I20" s="327" t="s">
        <v>427</v>
      </c>
    </row>
    <row r="21" spans="1:9" x14ac:dyDescent="0.2">
      <c r="A21" s="295"/>
      <c r="B21" s="245" t="s">
        <v>862</v>
      </c>
      <c r="C21" s="246" t="s">
        <v>863</v>
      </c>
      <c r="D21" s="297" t="s">
        <v>864</v>
      </c>
      <c r="E21" s="321" t="str">
        <f t="shared" si="0"/>
        <v xml:space="preserve">CBECS - </v>
      </c>
      <c r="F21" s="238" t="str">
        <f t="shared" si="1"/>
        <v>Recreation</v>
      </c>
      <c r="G21" s="238" t="str">
        <f t="shared" si="2"/>
        <v>Entertainment/Public Assembly</v>
      </c>
      <c r="H21" s="324" t="str">
        <f t="shared" si="3"/>
        <v>Bowling Alley</v>
      </c>
      <c r="I21" s="327" t="s">
        <v>427</v>
      </c>
    </row>
    <row r="22" spans="1:9" x14ac:dyDescent="0.2">
      <c r="A22" s="295"/>
      <c r="B22" s="247"/>
      <c r="C22" s="246" t="s">
        <v>865</v>
      </c>
      <c r="D22" s="297" t="s">
        <v>864</v>
      </c>
      <c r="E22" s="321" t="str">
        <f t="shared" si="0"/>
        <v xml:space="preserve">CBECS - </v>
      </c>
      <c r="F22" s="238" t="str">
        <f t="shared" si="1"/>
        <v>Recreation</v>
      </c>
      <c r="G22" s="238" t="str">
        <f t="shared" si="2"/>
        <v>Entertainment/Public Assembly</v>
      </c>
      <c r="H22" s="324" t="str">
        <f t="shared" si="3"/>
        <v>Fitness Center/Health Club/Gym</v>
      </c>
      <c r="I22" s="327" t="s">
        <v>427</v>
      </c>
    </row>
    <row r="23" spans="1:9" x14ac:dyDescent="0.2">
      <c r="A23" s="295"/>
      <c r="B23" s="247"/>
      <c r="C23" s="246" t="s">
        <v>866</v>
      </c>
      <c r="D23" s="297" t="s">
        <v>864</v>
      </c>
      <c r="E23" s="321" t="str">
        <f t="shared" si="0"/>
        <v xml:space="preserve">CBECS - </v>
      </c>
      <c r="F23" s="238" t="str">
        <f t="shared" si="1"/>
        <v>Recreation</v>
      </c>
      <c r="G23" s="238" t="str">
        <f t="shared" si="2"/>
        <v>Entertainment/Public Assembly</v>
      </c>
      <c r="H23" s="324" t="str">
        <f t="shared" si="3"/>
        <v>Ice/Curling Rink</v>
      </c>
      <c r="I23" s="327" t="s">
        <v>427</v>
      </c>
    </row>
    <row r="24" spans="1:9" x14ac:dyDescent="0.2">
      <c r="A24" s="295"/>
      <c r="B24" s="247"/>
      <c r="C24" s="246" t="s">
        <v>867</v>
      </c>
      <c r="D24" s="297" t="s">
        <v>864</v>
      </c>
      <c r="E24" s="321" t="str">
        <f t="shared" si="0"/>
        <v xml:space="preserve">CBECS - </v>
      </c>
      <c r="F24" s="238" t="str">
        <f t="shared" si="1"/>
        <v>Recreation</v>
      </c>
      <c r="G24" s="238" t="str">
        <f t="shared" si="2"/>
        <v>Entertainment/Public Assembly</v>
      </c>
      <c r="H24" s="324" t="str">
        <f t="shared" si="3"/>
        <v>Roller Rink</v>
      </c>
      <c r="I24" s="327" t="s">
        <v>427</v>
      </c>
    </row>
    <row r="25" spans="1:9" x14ac:dyDescent="0.2">
      <c r="A25" s="295"/>
      <c r="B25" s="247"/>
      <c r="C25" s="246" t="s">
        <v>868</v>
      </c>
      <c r="D25" s="297" t="s">
        <v>864</v>
      </c>
      <c r="E25" s="321" t="str">
        <f t="shared" si="0"/>
        <v xml:space="preserve">CBECS - </v>
      </c>
      <c r="F25" s="238" t="str">
        <f t="shared" si="1"/>
        <v>Recreation</v>
      </c>
      <c r="G25" s="238" t="str">
        <f t="shared" si="2"/>
        <v>Entertainment/Public Assembly</v>
      </c>
      <c r="H25" s="324" t="str">
        <f t="shared" si="3"/>
        <v>Swimming Pool</v>
      </c>
      <c r="I25" s="327" t="s">
        <v>427</v>
      </c>
    </row>
    <row r="26" spans="1:9" x14ac:dyDescent="0.2">
      <c r="A26" s="295"/>
      <c r="B26" s="248"/>
      <c r="C26" s="246" t="s">
        <v>869</v>
      </c>
      <c r="D26" s="297" t="s">
        <v>864</v>
      </c>
      <c r="E26" s="321" t="str">
        <f t="shared" si="0"/>
        <v xml:space="preserve">CBECS - </v>
      </c>
      <c r="F26" s="238" t="str">
        <f t="shared" si="1"/>
        <v>Recreation</v>
      </c>
      <c r="G26" s="238" t="str">
        <f t="shared" si="2"/>
        <v>Entertainment/Public Assembly</v>
      </c>
      <c r="H26" s="324" t="str">
        <f t="shared" si="3"/>
        <v>Other - Recreation</v>
      </c>
      <c r="I26" s="327" t="s">
        <v>427</v>
      </c>
    </row>
    <row r="27" spans="1:9" x14ac:dyDescent="0.2">
      <c r="A27" s="298"/>
      <c r="B27" s="243" t="s">
        <v>870</v>
      </c>
      <c r="C27" s="243" t="s">
        <v>870</v>
      </c>
      <c r="D27" s="286" t="s">
        <v>857</v>
      </c>
      <c r="E27" s="321" t="str">
        <f t="shared" si="0"/>
        <v xml:space="preserve">CBECS - </v>
      </c>
      <c r="F27" s="238" t="str">
        <f t="shared" si="1"/>
        <v>Social/Meeting</v>
      </c>
      <c r="G27" s="238" t="str">
        <f t="shared" si="2"/>
        <v>Entertainment/Public Assembly</v>
      </c>
      <c r="H27" s="324" t="str">
        <f t="shared" si="3"/>
        <v>Social/Meeting Hall</v>
      </c>
      <c r="I27" s="327" t="s">
        <v>427</v>
      </c>
    </row>
    <row r="28" spans="1:9" ht="25.5" x14ac:dyDescent="0.2">
      <c r="A28" s="294" t="s">
        <v>855</v>
      </c>
      <c r="B28" s="245" t="s">
        <v>871</v>
      </c>
      <c r="C28" s="246" t="s">
        <v>872</v>
      </c>
      <c r="D28" s="297" t="s">
        <v>859</v>
      </c>
      <c r="E28" s="321" t="str">
        <f t="shared" si="0"/>
        <v xml:space="preserve">CBECS - </v>
      </c>
      <c r="F28" s="238" t="str">
        <f t="shared" si="1"/>
        <v>Public Assembly</v>
      </c>
      <c r="G28" s="238" t="str">
        <f t="shared" si="2"/>
        <v>Entertainment/Public Assembly</v>
      </c>
      <c r="H28" s="324" t="str">
        <f t="shared" si="3"/>
        <v>Indoor Arena</v>
      </c>
      <c r="I28" s="327" t="s">
        <v>427</v>
      </c>
    </row>
    <row r="29" spans="1:9" x14ac:dyDescent="0.2">
      <c r="A29" s="295"/>
      <c r="B29" s="247"/>
      <c r="C29" s="246" t="s">
        <v>873</v>
      </c>
      <c r="D29" s="297" t="s">
        <v>859</v>
      </c>
      <c r="E29" s="321" t="str">
        <f t="shared" si="0"/>
        <v xml:space="preserve">CBECS - </v>
      </c>
      <c r="F29" s="238" t="str">
        <f t="shared" si="1"/>
        <v>Public Assembly</v>
      </c>
      <c r="G29" s="238" t="str">
        <f t="shared" si="2"/>
        <v>Entertainment/Public Assembly</v>
      </c>
      <c r="H29" s="324" t="str">
        <f t="shared" si="3"/>
        <v>Race Track</v>
      </c>
      <c r="I29" s="327" t="s">
        <v>427</v>
      </c>
    </row>
    <row r="30" spans="1:9" x14ac:dyDescent="0.2">
      <c r="A30" s="295"/>
      <c r="B30" s="247"/>
      <c r="C30" s="246" t="s">
        <v>874</v>
      </c>
      <c r="D30" s="297" t="s">
        <v>859</v>
      </c>
      <c r="E30" s="321" t="str">
        <f t="shared" si="0"/>
        <v xml:space="preserve">CBECS - </v>
      </c>
      <c r="F30" s="238" t="str">
        <f t="shared" si="1"/>
        <v>Public Assembly</v>
      </c>
      <c r="G30" s="238" t="str">
        <f t="shared" si="2"/>
        <v>Entertainment/Public Assembly</v>
      </c>
      <c r="H30" s="324" t="str">
        <f t="shared" si="3"/>
        <v>Stadium (Closed)</v>
      </c>
      <c r="I30" s="327" t="s">
        <v>427</v>
      </c>
    </row>
    <row r="31" spans="1:9" x14ac:dyDescent="0.2">
      <c r="A31" s="295"/>
      <c r="B31" s="247"/>
      <c r="C31" s="246" t="s">
        <v>875</v>
      </c>
      <c r="D31" s="297" t="s">
        <v>859</v>
      </c>
      <c r="E31" s="321" t="str">
        <f t="shared" si="0"/>
        <v xml:space="preserve">CBECS - </v>
      </c>
      <c r="F31" s="238" t="str">
        <f t="shared" si="1"/>
        <v>Public Assembly</v>
      </c>
      <c r="G31" s="238" t="str">
        <f t="shared" si="2"/>
        <v>Entertainment/Public Assembly</v>
      </c>
      <c r="H31" s="324" t="str">
        <f t="shared" si="3"/>
        <v>Stadium (Open)</v>
      </c>
      <c r="I31" s="327" t="s">
        <v>427</v>
      </c>
    </row>
    <row r="32" spans="1:9" x14ac:dyDescent="0.2">
      <c r="A32" s="295"/>
      <c r="B32" s="248"/>
      <c r="C32" s="246" t="s">
        <v>876</v>
      </c>
      <c r="D32" s="297" t="s">
        <v>859</v>
      </c>
      <c r="E32" s="321" t="str">
        <f t="shared" si="0"/>
        <v xml:space="preserve">CBECS - </v>
      </c>
      <c r="F32" s="238" t="str">
        <f t="shared" si="1"/>
        <v>Public Assembly</v>
      </c>
      <c r="G32" s="238" t="str">
        <f t="shared" si="2"/>
        <v>Entertainment/Public Assembly</v>
      </c>
      <c r="H32" s="324" t="str">
        <f t="shared" si="3"/>
        <v>Other - Stadium</v>
      </c>
      <c r="I32" s="327" t="s">
        <v>427</v>
      </c>
    </row>
    <row r="33" spans="1:9" x14ac:dyDescent="0.2">
      <c r="A33" s="295"/>
      <c r="B33" s="245" t="s">
        <v>173</v>
      </c>
      <c r="C33" s="246" t="s">
        <v>877</v>
      </c>
      <c r="D33" s="297" t="s">
        <v>859</v>
      </c>
      <c r="E33" s="321" t="str">
        <f t="shared" si="0"/>
        <v xml:space="preserve">CBECS - </v>
      </c>
      <c r="F33" s="238" t="str">
        <f t="shared" si="1"/>
        <v>Public Assembly</v>
      </c>
      <c r="G33" s="238" t="str">
        <f t="shared" si="2"/>
        <v>Entertainment/Public Assembly</v>
      </c>
      <c r="H33" s="324" t="str">
        <f t="shared" si="3"/>
        <v>Aquarium</v>
      </c>
      <c r="I33" s="327" t="s">
        <v>427</v>
      </c>
    </row>
    <row r="34" spans="1:9" x14ac:dyDescent="0.2">
      <c r="A34" s="295"/>
      <c r="B34" s="247"/>
      <c r="C34" s="246" t="s">
        <v>878</v>
      </c>
      <c r="D34" s="297" t="s">
        <v>859</v>
      </c>
      <c r="E34" s="321" t="str">
        <f t="shared" si="0"/>
        <v xml:space="preserve">CBECS - </v>
      </c>
      <c r="F34" s="238" t="str">
        <f t="shared" si="1"/>
        <v>Public Assembly</v>
      </c>
      <c r="G34" s="238" t="str">
        <f t="shared" si="2"/>
        <v>Entertainment/Public Assembly</v>
      </c>
      <c r="H34" s="324" t="str">
        <f t="shared" si="3"/>
        <v>Casino</v>
      </c>
      <c r="I34" s="327" t="s">
        <v>427</v>
      </c>
    </row>
    <row r="35" spans="1:9" x14ac:dyDescent="0.2">
      <c r="A35" s="295"/>
      <c r="B35" s="247"/>
      <c r="C35" s="246" t="s">
        <v>879</v>
      </c>
      <c r="D35" s="297" t="s">
        <v>859</v>
      </c>
      <c r="E35" s="321" t="str">
        <f t="shared" si="0"/>
        <v xml:space="preserve">CBECS - </v>
      </c>
      <c r="F35" s="238" t="str">
        <f t="shared" si="1"/>
        <v>Public Assembly</v>
      </c>
      <c r="G35" s="238" t="str">
        <f t="shared" si="2"/>
        <v>Entertainment/Public Assembly</v>
      </c>
      <c r="H35" s="324" t="str">
        <f t="shared" si="3"/>
        <v>Zoo</v>
      </c>
      <c r="I35" s="327" t="s">
        <v>427</v>
      </c>
    </row>
    <row r="36" spans="1:9" ht="25.5" x14ac:dyDescent="0.2">
      <c r="A36" s="295"/>
      <c r="B36" s="247"/>
      <c r="C36" s="246" t="s">
        <v>880</v>
      </c>
      <c r="D36" s="297" t="s">
        <v>859</v>
      </c>
      <c r="E36" s="321" t="str">
        <f t="shared" si="0"/>
        <v xml:space="preserve">CBECS - </v>
      </c>
      <c r="F36" s="238" t="str">
        <f t="shared" si="1"/>
        <v>Public Assembly</v>
      </c>
      <c r="G36" s="238" t="str">
        <f t="shared" si="2"/>
        <v>Entertainment/Public Assembly</v>
      </c>
      <c r="H36" s="324" t="str">
        <f t="shared" si="3"/>
        <v>Other - Entertainment/Public Assembly</v>
      </c>
      <c r="I36" s="327" t="s">
        <v>427</v>
      </c>
    </row>
    <row r="37" spans="1:9" x14ac:dyDescent="0.2">
      <c r="A37" s="298"/>
      <c r="B37" s="248"/>
      <c r="C37" s="246" t="s">
        <v>881</v>
      </c>
      <c r="D37" s="286" t="s">
        <v>882</v>
      </c>
      <c r="E37" s="321" t="str">
        <f t="shared" si="0"/>
        <v xml:space="preserve">CBECS - </v>
      </c>
      <c r="F37" s="238" t="str">
        <f t="shared" si="1"/>
        <v>Bar/Pub/Lounge</v>
      </c>
      <c r="G37" s="238" t="str">
        <f t="shared" si="2"/>
        <v>Entertainment/Public Assembly</v>
      </c>
      <c r="H37" s="324" t="str">
        <f t="shared" si="3"/>
        <v>Bar/Nightclub</v>
      </c>
      <c r="I37" s="327" t="s">
        <v>403</v>
      </c>
    </row>
    <row r="38" spans="1:9" x14ac:dyDescent="0.2">
      <c r="A38" s="288" t="s">
        <v>883</v>
      </c>
      <c r="B38" s="242" t="s">
        <v>884</v>
      </c>
      <c r="C38" s="249" t="s">
        <v>885</v>
      </c>
      <c r="D38" s="292" t="s">
        <v>886</v>
      </c>
      <c r="E38" s="321" t="str">
        <f t="shared" si="0"/>
        <v xml:space="preserve">CBECS - </v>
      </c>
      <c r="F38" s="238" t="str">
        <f t="shared" si="1"/>
        <v>Food Sales</v>
      </c>
      <c r="G38" s="238" t="str">
        <f t="shared" si="2"/>
        <v>Food Sales &amp; Service</v>
      </c>
      <c r="H38" s="324" t="str">
        <f t="shared" si="3"/>
        <v>Convenience Store with Gas Station</v>
      </c>
      <c r="I38" s="327" t="s">
        <v>393</v>
      </c>
    </row>
    <row r="39" spans="1:9" ht="25.5" x14ac:dyDescent="0.2">
      <c r="A39" s="290"/>
      <c r="B39" s="250"/>
      <c r="C39" s="249" t="s">
        <v>887</v>
      </c>
      <c r="D39" s="292" t="s">
        <v>886</v>
      </c>
      <c r="E39" s="321" t="str">
        <f t="shared" si="0"/>
        <v xml:space="preserve">CBECS - </v>
      </c>
      <c r="F39" s="238" t="str">
        <f t="shared" si="1"/>
        <v>Food Sales</v>
      </c>
      <c r="G39" s="238" t="str">
        <f t="shared" si="2"/>
        <v>Food Sales &amp; Service</v>
      </c>
      <c r="H39" s="324" t="str">
        <f t="shared" si="3"/>
        <v>Convenience Store without Gas Station</v>
      </c>
      <c r="I39" s="327" t="s">
        <v>393</v>
      </c>
    </row>
    <row r="40" spans="1:9" x14ac:dyDescent="0.2">
      <c r="A40" s="290"/>
      <c r="B40" s="251" t="s">
        <v>588</v>
      </c>
      <c r="C40" s="249" t="s">
        <v>881</v>
      </c>
      <c r="D40" s="289" t="s">
        <v>882</v>
      </c>
      <c r="E40" s="321" t="str">
        <f t="shared" si="0"/>
        <v xml:space="preserve">CBECS - </v>
      </c>
      <c r="F40" s="238" t="str">
        <f t="shared" si="1"/>
        <v>Bar/Pub/Lounge</v>
      </c>
      <c r="G40" s="238" t="str">
        <f t="shared" si="2"/>
        <v>Food Sales &amp; Service</v>
      </c>
      <c r="H40" s="324" t="str">
        <f t="shared" si="3"/>
        <v>Bar/Nightclub</v>
      </c>
      <c r="I40" s="327" t="s">
        <v>403</v>
      </c>
    </row>
    <row r="41" spans="1:9" x14ac:dyDescent="0.2">
      <c r="A41" s="290"/>
      <c r="B41" s="252"/>
      <c r="C41" s="249" t="s">
        <v>888</v>
      </c>
      <c r="D41" s="289" t="s">
        <v>889</v>
      </c>
      <c r="E41" s="321" t="str">
        <f t="shared" ref="E41:E72" si="4">LEFT(D41,8)</f>
        <v xml:space="preserve">CBECS - </v>
      </c>
      <c r="F41" s="238" t="str">
        <f t="shared" ref="F41:F72" si="5">IFERROR(IF(E41=$E$9,RIGHT(D41,LEN(D41)-8),""),F40)</f>
        <v>Fast Food</v>
      </c>
      <c r="G41" s="238" t="str">
        <f t="shared" ref="G41:G72" si="6">IF(A41="",G40,A41)</f>
        <v>Food Sales &amp; Service</v>
      </c>
      <c r="H41" s="324" t="str">
        <f t="shared" ref="H41:H72" si="7">TRIM(LEFT(C41,IFERROR(FIND("*",C41)-1,LEN(C41))))</f>
        <v>Fast Food Restaurant</v>
      </c>
      <c r="I41" s="327" t="s">
        <v>403</v>
      </c>
    </row>
    <row r="42" spans="1:9" x14ac:dyDescent="0.2">
      <c r="A42" s="290"/>
      <c r="B42" s="252"/>
      <c r="C42" s="249" t="s">
        <v>543</v>
      </c>
      <c r="D42" s="292" t="s">
        <v>890</v>
      </c>
      <c r="E42" s="321" t="str">
        <f t="shared" si="4"/>
        <v xml:space="preserve">CBECS - </v>
      </c>
      <c r="F42" s="238" t="str">
        <f t="shared" si="5"/>
        <v>Restaurant/Cafeteria</v>
      </c>
      <c r="G42" s="238" t="str">
        <f t="shared" si="6"/>
        <v>Food Sales &amp; Service</v>
      </c>
      <c r="H42" s="324" t="str">
        <f t="shared" si="7"/>
        <v>Restaurant</v>
      </c>
      <c r="I42" s="327" t="s">
        <v>403</v>
      </c>
    </row>
    <row r="43" spans="1:9" x14ac:dyDescent="0.2">
      <c r="A43" s="290"/>
      <c r="B43" s="253"/>
      <c r="C43" s="249" t="s">
        <v>891</v>
      </c>
      <c r="D43" s="292" t="s">
        <v>890</v>
      </c>
      <c r="E43" s="321" t="str">
        <f t="shared" si="4"/>
        <v xml:space="preserve">CBECS - </v>
      </c>
      <c r="F43" s="238" t="str">
        <f t="shared" si="5"/>
        <v>Restaurant/Cafeteria</v>
      </c>
      <c r="G43" s="238" t="str">
        <f t="shared" si="6"/>
        <v>Food Sales &amp; Service</v>
      </c>
      <c r="H43" s="324" t="str">
        <f t="shared" si="7"/>
        <v>Other - Restaurant/Bar</v>
      </c>
      <c r="I43" s="327" t="s">
        <v>403</v>
      </c>
    </row>
    <row r="44" spans="1:9" x14ac:dyDescent="0.2">
      <c r="A44" s="290"/>
      <c r="B44" s="241" t="s">
        <v>892</v>
      </c>
      <c r="C44" s="241" t="s">
        <v>892</v>
      </c>
      <c r="D44" s="289" t="s">
        <v>893</v>
      </c>
      <c r="E44" s="321" t="str">
        <f t="shared" si="4"/>
        <v xml:space="preserve">CBECS - </v>
      </c>
      <c r="F44" s="238" t="str">
        <f t="shared" si="5"/>
        <v>Grocery Store/Food Market</v>
      </c>
      <c r="G44" s="238" t="str">
        <f t="shared" si="6"/>
        <v>Food Sales &amp; Service</v>
      </c>
      <c r="H44" s="324" t="str">
        <f t="shared" si="7"/>
        <v>Supermarket/Grocery Store</v>
      </c>
      <c r="I44" s="327" t="s">
        <v>393</v>
      </c>
    </row>
    <row r="45" spans="1:9" x14ac:dyDescent="0.2">
      <c r="A45" s="290"/>
      <c r="B45" s="241" t="s">
        <v>894</v>
      </c>
      <c r="C45" s="241" t="s">
        <v>894</v>
      </c>
      <c r="D45" s="289" t="s">
        <v>895</v>
      </c>
      <c r="E45" s="321" t="str">
        <f t="shared" si="4"/>
        <v xml:space="preserve">CBECS - </v>
      </c>
      <c r="F45" s="238" t="str">
        <f t="shared" si="5"/>
        <v>Retail Store</v>
      </c>
      <c r="G45" s="238" t="str">
        <f t="shared" si="6"/>
        <v>Food Sales &amp; Service</v>
      </c>
      <c r="H45" s="324" t="str">
        <f t="shared" si="7"/>
        <v>Wholesale Club/Supercenter</v>
      </c>
      <c r="I45" s="327" t="s">
        <v>393</v>
      </c>
    </row>
    <row r="46" spans="1:9" x14ac:dyDescent="0.2">
      <c r="A46" s="290"/>
      <c r="B46" s="242" t="s">
        <v>173</v>
      </c>
      <c r="C46" s="249" t="s">
        <v>393</v>
      </c>
      <c r="D46" s="289" t="s">
        <v>886</v>
      </c>
      <c r="E46" s="321" t="str">
        <f t="shared" si="4"/>
        <v xml:space="preserve">CBECS - </v>
      </c>
      <c r="F46" s="238" t="str">
        <f t="shared" si="5"/>
        <v>Food Sales</v>
      </c>
      <c r="G46" s="238" t="str">
        <f t="shared" si="6"/>
        <v>Food Sales &amp; Service</v>
      </c>
      <c r="H46" s="324" t="str">
        <f t="shared" si="7"/>
        <v>Food Sales</v>
      </c>
      <c r="I46" s="327" t="s">
        <v>393</v>
      </c>
    </row>
    <row r="47" spans="1:9" x14ac:dyDescent="0.2">
      <c r="A47" s="293"/>
      <c r="B47" s="250"/>
      <c r="C47" s="249" t="s">
        <v>403</v>
      </c>
      <c r="D47" s="289" t="s">
        <v>896</v>
      </c>
      <c r="E47" s="321" t="str">
        <f t="shared" si="4"/>
        <v xml:space="preserve">CBECS - </v>
      </c>
      <c r="F47" s="238" t="str">
        <f t="shared" si="5"/>
        <v>Food Service</v>
      </c>
      <c r="G47" s="238" t="str">
        <f t="shared" si="6"/>
        <v>Food Sales &amp; Service</v>
      </c>
      <c r="H47" s="324" t="str">
        <f t="shared" si="7"/>
        <v>Food Service</v>
      </c>
      <c r="I47" s="327" t="s">
        <v>403</v>
      </c>
    </row>
    <row r="48" spans="1:9" x14ac:dyDescent="0.2">
      <c r="A48" s="294" t="s">
        <v>654</v>
      </c>
      <c r="B48" s="243" t="s">
        <v>897</v>
      </c>
      <c r="C48" s="243" t="s">
        <v>897</v>
      </c>
      <c r="D48" s="299" t="s">
        <v>898</v>
      </c>
      <c r="E48" s="321" t="str">
        <f t="shared" si="4"/>
        <v xml:space="preserve">CBECS - </v>
      </c>
      <c r="F48" s="238" t="str">
        <f t="shared" si="5"/>
        <v>Outpatient Health care</v>
      </c>
      <c r="G48" s="238" t="str">
        <f t="shared" si="6"/>
        <v>Health care</v>
      </c>
      <c r="H48" s="324" t="str">
        <f t="shared" si="7"/>
        <v>Ambulatory Surgical Center</v>
      </c>
      <c r="I48" s="327" t="s">
        <v>484</v>
      </c>
    </row>
    <row r="49" spans="1:9" ht="25.5" x14ac:dyDescent="0.2">
      <c r="A49" s="295"/>
      <c r="B49" s="244" t="s">
        <v>540</v>
      </c>
      <c r="C49" s="254" t="s">
        <v>899</v>
      </c>
      <c r="D49" s="300" t="s">
        <v>900</v>
      </c>
      <c r="E49" s="321" t="str">
        <f t="shared" si="4"/>
        <v>Industry</v>
      </c>
      <c r="F49" s="238" t="str">
        <f t="shared" si="5"/>
        <v/>
      </c>
      <c r="G49" s="238" t="str">
        <f t="shared" si="6"/>
        <v>Health care</v>
      </c>
      <c r="H49" s="324" t="str">
        <f t="shared" si="7"/>
        <v>Hospital (General Medical &amp; Surgical)</v>
      </c>
      <c r="I49" s="327" t="s">
        <v>483</v>
      </c>
    </row>
    <row r="50" spans="1:9" ht="15" x14ac:dyDescent="0.25">
      <c r="A50" s="295"/>
      <c r="B50" s="255"/>
      <c r="C50" s="1" t="s">
        <v>901</v>
      </c>
      <c r="D50" s="301" t="s">
        <v>902</v>
      </c>
      <c r="E50" s="321" t="str">
        <f t="shared" si="4"/>
        <v xml:space="preserve">CBECS - </v>
      </c>
      <c r="F50" s="238" t="str">
        <f t="shared" si="5"/>
        <v>Inpatient Health care</v>
      </c>
      <c r="G50" s="238" t="str">
        <f t="shared" si="6"/>
        <v>Health care</v>
      </c>
      <c r="H50" s="324" t="str">
        <f t="shared" si="7"/>
        <v>Other - Specialty Hospital</v>
      </c>
      <c r="I50" s="327" t="s">
        <v>483</v>
      </c>
    </row>
    <row r="51" spans="1:9" x14ac:dyDescent="0.2">
      <c r="A51" s="295"/>
      <c r="B51" s="239" t="s">
        <v>903</v>
      </c>
      <c r="C51" s="239" t="s">
        <v>903</v>
      </c>
      <c r="D51" s="302" t="s">
        <v>904</v>
      </c>
      <c r="E51" s="321" t="str">
        <f t="shared" si="4"/>
        <v xml:space="preserve">CBECS - </v>
      </c>
      <c r="F51" s="238" t="str">
        <f t="shared" si="5"/>
        <v>Medical Office</v>
      </c>
      <c r="G51" s="238" t="str">
        <f t="shared" si="6"/>
        <v>Health care</v>
      </c>
      <c r="H51" s="324" t="str">
        <f t="shared" si="7"/>
        <v>Medical Office</v>
      </c>
      <c r="I51" s="327" t="s">
        <v>484</v>
      </c>
    </row>
    <row r="52" spans="1:9" ht="25.5" x14ac:dyDescent="0.2">
      <c r="A52" s="295"/>
      <c r="B52" s="243" t="s">
        <v>905</v>
      </c>
      <c r="C52" s="243" t="s">
        <v>905</v>
      </c>
      <c r="D52" s="299" t="s">
        <v>898</v>
      </c>
      <c r="E52" s="321" t="str">
        <f t="shared" si="4"/>
        <v xml:space="preserve">CBECS - </v>
      </c>
      <c r="F52" s="238" t="str">
        <f t="shared" si="5"/>
        <v>Outpatient Health care</v>
      </c>
      <c r="G52" s="238" t="str">
        <f t="shared" si="6"/>
        <v>Health care</v>
      </c>
      <c r="H52" s="324" t="str">
        <f t="shared" si="7"/>
        <v>Outpatient Rehabilitation/Physical Therapy</v>
      </c>
      <c r="I52" s="327" t="s">
        <v>484</v>
      </c>
    </row>
    <row r="53" spans="1:9" x14ac:dyDescent="0.2">
      <c r="A53" s="295"/>
      <c r="B53" s="243" t="s">
        <v>906</v>
      </c>
      <c r="C53" s="243" t="s">
        <v>906</v>
      </c>
      <c r="D53" s="300" t="s">
        <v>900</v>
      </c>
      <c r="E53" s="321" t="str">
        <f t="shared" si="4"/>
        <v>Industry</v>
      </c>
      <c r="F53" s="238" t="str">
        <f t="shared" si="5"/>
        <v/>
      </c>
      <c r="G53" s="238" t="str">
        <f t="shared" si="6"/>
        <v>Health care</v>
      </c>
      <c r="H53" s="324" t="str">
        <f t="shared" si="7"/>
        <v>Residential Care Facility</v>
      </c>
      <c r="I53" s="327" t="s">
        <v>416</v>
      </c>
    </row>
    <row r="54" spans="1:9" x14ac:dyDescent="0.2">
      <c r="A54" s="295"/>
      <c r="B54" s="239" t="s">
        <v>907</v>
      </c>
      <c r="C54" s="239" t="s">
        <v>907</v>
      </c>
      <c r="D54" s="300" t="s">
        <v>900</v>
      </c>
      <c r="E54" s="321" t="str">
        <f t="shared" si="4"/>
        <v>Industry</v>
      </c>
      <c r="F54" s="238" t="str">
        <f t="shared" si="5"/>
        <v/>
      </c>
      <c r="G54" s="238" t="str">
        <f t="shared" si="6"/>
        <v>Health care</v>
      </c>
      <c r="H54" s="324" t="str">
        <f t="shared" si="7"/>
        <v>Senior Care Community</v>
      </c>
      <c r="I54" s="327" t="s">
        <v>416</v>
      </c>
    </row>
    <row r="55" spans="1:9" x14ac:dyDescent="0.2">
      <c r="A55" s="298"/>
      <c r="B55" s="243" t="s">
        <v>908</v>
      </c>
      <c r="C55" s="243" t="s">
        <v>908</v>
      </c>
      <c r="D55" s="303" t="s">
        <v>909</v>
      </c>
      <c r="E55" s="321" t="str">
        <f t="shared" si="4"/>
        <v xml:space="preserve">CBECS - </v>
      </c>
      <c r="F55" s="238" t="str">
        <f t="shared" si="5"/>
        <v>Clinic/Outpatient</v>
      </c>
      <c r="G55" s="238" t="str">
        <f t="shared" si="6"/>
        <v>Health care</v>
      </c>
      <c r="H55" s="324" t="str">
        <f t="shared" si="7"/>
        <v>Urgent Care/Clinic/Other Outpatient</v>
      </c>
      <c r="I55" s="327" t="s">
        <v>484</v>
      </c>
    </row>
    <row r="56" spans="1:9" x14ac:dyDescent="0.2">
      <c r="A56" s="288" t="s">
        <v>910</v>
      </c>
      <c r="B56" s="241" t="s">
        <v>911</v>
      </c>
      <c r="C56" s="241" t="s">
        <v>911</v>
      </c>
      <c r="D56" s="304" t="s">
        <v>912</v>
      </c>
      <c r="E56" s="321" t="str">
        <f t="shared" si="4"/>
        <v xml:space="preserve">CBECS - </v>
      </c>
      <c r="F56" s="238" t="str">
        <f t="shared" si="5"/>
        <v>Dormitory</v>
      </c>
      <c r="G56" s="238" t="str">
        <f t="shared" si="6"/>
        <v>Lodging/Residential</v>
      </c>
      <c r="H56" s="324" t="str">
        <f t="shared" si="7"/>
        <v>Barracks</v>
      </c>
      <c r="I56" s="327" t="s">
        <v>416</v>
      </c>
    </row>
    <row r="57" spans="1:9" x14ac:dyDescent="0.2">
      <c r="A57" s="290"/>
      <c r="B57" s="241" t="s">
        <v>913</v>
      </c>
      <c r="C57" s="241" t="s">
        <v>913</v>
      </c>
      <c r="D57" s="291" t="s">
        <v>914</v>
      </c>
      <c r="E57" s="321" t="str">
        <f t="shared" si="4"/>
        <v xml:space="preserve">CBECS - </v>
      </c>
      <c r="F57" s="238" t="str">
        <f t="shared" si="5"/>
        <v>Hotel &amp; Motel/Inn</v>
      </c>
      <c r="G57" s="238" t="str">
        <f t="shared" si="6"/>
        <v>Lodging/Residential</v>
      </c>
      <c r="H57" s="324" t="str">
        <f t="shared" si="7"/>
        <v>Hotel</v>
      </c>
      <c r="I57" s="327" t="s">
        <v>416</v>
      </c>
    </row>
    <row r="58" spans="1:9" x14ac:dyDescent="0.2">
      <c r="A58" s="290"/>
      <c r="B58" s="241" t="s">
        <v>915</v>
      </c>
      <c r="C58" s="241" t="s">
        <v>915</v>
      </c>
      <c r="D58" s="291" t="s">
        <v>916</v>
      </c>
      <c r="E58" s="321" t="str">
        <f t="shared" si="4"/>
        <v>Fannie M</v>
      </c>
      <c r="F58" s="238" t="str">
        <f t="shared" si="5"/>
        <v/>
      </c>
      <c r="G58" s="238" t="str">
        <f t="shared" si="6"/>
        <v>Lodging/Residential</v>
      </c>
      <c r="H58" s="324" t="str">
        <f t="shared" si="7"/>
        <v>Multifamily Housing</v>
      </c>
      <c r="I58" s="327" t="s">
        <v>487</v>
      </c>
    </row>
    <row r="59" spans="1:9" x14ac:dyDescent="0.2">
      <c r="A59" s="290"/>
      <c r="B59" s="240" t="s">
        <v>917</v>
      </c>
      <c r="C59" s="240" t="s">
        <v>917</v>
      </c>
      <c r="D59" s="305" t="s">
        <v>918</v>
      </c>
      <c r="E59" s="321" t="str">
        <f t="shared" si="4"/>
        <v xml:space="preserve">CBECS - </v>
      </c>
      <c r="F59" s="238" t="str">
        <f t="shared" si="5"/>
        <v>Public Order and Safety</v>
      </c>
      <c r="G59" s="238" t="str">
        <f t="shared" si="6"/>
        <v>Lodging/Residential</v>
      </c>
      <c r="H59" s="324" t="str">
        <f t="shared" si="7"/>
        <v>Prison/Incarceration</v>
      </c>
      <c r="I59" s="327" t="s">
        <v>488</v>
      </c>
    </row>
    <row r="60" spans="1:9" x14ac:dyDescent="0.2">
      <c r="A60" s="290"/>
      <c r="B60" s="241" t="s">
        <v>919</v>
      </c>
      <c r="C60" s="241" t="s">
        <v>919</v>
      </c>
      <c r="D60" s="304" t="s">
        <v>912</v>
      </c>
      <c r="E60" s="321" t="str">
        <f t="shared" si="4"/>
        <v xml:space="preserve">CBECS - </v>
      </c>
      <c r="F60" s="238" t="str">
        <f t="shared" si="5"/>
        <v>Dormitory</v>
      </c>
      <c r="G60" s="238" t="str">
        <f t="shared" si="6"/>
        <v>Lodging/Residential</v>
      </c>
      <c r="H60" s="324" t="str">
        <f t="shared" si="7"/>
        <v>Residence Hall/Dormitory</v>
      </c>
      <c r="I60" s="327" t="s">
        <v>416</v>
      </c>
    </row>
    <row r="61" spans="1:9" x14ac:dyDescent="0.2">
      <c r="A61" s="290"/>
      <c r="B61" s="240" t="s">
        <v>906</v>
      </c>
      <c r="C61" s="240" t="s">
        <v>906</v>
      </c>
      <c r="D61" s="306" t="s">
        <v>900</v>
      </c>
      <c r="E61" s="321" t="str">
        <f t="shared" si="4"/>
        <v>Industry</v>
      </c>
      <c r="F61" s="238" t="str">
        <f t="shared" si="5"/>
        <v/>
      </c>
      <c r="G61" s="238" t="str">
        <f t="shared" si="6"/>
        <v>Lodging/Residential</v>
      </c>
      <c r="H61" s="324" t="str">
        <f t="shared" si="7"/>
        <v>Residential Care Facility</v>
      </c>
      <c r="I61" s="327" t="s">
        <v>416</v>
      </c>
    </row>
    <row r="62" spans="1:9" x14ac:dyDescent="0.2">
      <c r="A62" s="290"/>
      <c r="B62" s="241" t="s">
        <v>907</v>
      </c>
      <c r="C62" s="241" t="s">
        <v>907</v>
      </c>
      <c r="D62" s="306" t="s">
        <v>900</v>
      </c>
      <c r="E62" s="321" t="str">
        <f t="shared" si="4"/>
        <v>Industry</v>
      </c>
      <c r="F62" s="238" t="str">
        <f t="shared" si="5"/>
        <v/>
      </c>
      <c r="G62" s="238" t="str">
        <f t="shared" si="6"/>
        <v>Lodging/Residential</v>
      </c>
      <c r="H62" s="324" t="str">
        <f t="shared" si="7"/>
        <v>Senior Care Community</v>
      </c>
      <c r="I62" s="327" t="s">
        <v>416</v>
      </c>
    </row>
    <row r="63" spans="1:9" x14ac:dyDescent="0.2">
      <c r="A63" s="290"/>
      <c r="B63" s="240" t="s">
        <v>920</v>
      </c>
      <c r="C63" s="240" t="s">
        <v>920</v>
      </c>
      <c r="D63" s="306" t="s">
        <v>921</v>
      </c>
      <c r="E63" s="321" t="str">
        <f t="shared" si="4"/>
        <v>None Ava</v>
      </c>
      <c r="F63" s="238" t="str">
        <f t="shared" si="5"/>
        <v/>
      </c>
      <c r="G63" s="238" t="str">
        <f t="shared" si="6"/>
        <v>Lodging/Residential</v>
      </c>
      <c r="H63" s="324" t="str">
        <f t="shared" si="7"/>
        <v>Single Family Home</v>
      </c>
      <c r="I63" s="327" t="s">
        <v>922</v>
      </c>
    </row>
    <row r="64" spans="1:9" x14ac:dyDescent="0.2">
      <c r="A64" s="293"/>
      <c r="B64" s="240" t="s">
        <v>923</v>
      </c>
      <c r="C64" s="240" t="s">
        <v>923</v>
      </c>
      <c r="D64" s="304" t="s">
        <v>924</v>
      </c>
      <c r="E64" s="321" t="str">
        <f t="shared" si="4"/>
        <v xml:space="preserve">CBECS - </v>
      </c>
      <c r="F64" s="238" t="str">
        <f t="shared" si="5"/>
        <v>Lodging</v>
      </c>
      <c r="G64" s="238" t="str">
        <f t="shared" si="6"/>
        <v>Lodging/Residential</v>
      </c>
      <c r="H64" s="324" t="str">
        <f t="shared" si="7"/>
        <v>Other - Lodging/Residential</v>
      </c>
      <c r="I64" s="327" t="s">
        <v>416</v>
      </c>
    </row>
    <row r="65" spans="1:9" ht="25.5" x14ac:dyDescent="0.25">
      <c r="A65" s="307" t="s">
        <v>925</v>
      </c>
      <c r="B65" s="243" t="s">
        <v>926</v>
      </c>
      <c r="C65" s="243" t="s">
        <v>926</v>
      </c>
      <c r="D65" s="300" t="s">
        <v>921</v>
      </c>
      <c r="E65" s="321" t="str">
        <f t="shared" si="4"/>
        <v>None Ava</v>
      </c>
      <c r="F65" s="238" t="str">
        <f t="shared" si="5"/>
        <v/>
      </c>
      <c r="G65" s="238" t="str">
        <f t="shared" si="6"/>
        <v>Manufacturing/Industrial</v>
      </c>
      <c r="H65" s="324" t="str">
        <f t="shared" si="7"/>
        <v>Manufacturing/Industrial Plant</v>
      </c>
      <c r="I65" s="327" t="s">
        <v>173</v>
      </c>
    </row>
    <row r="66" spans="1:9" x14ac:dyDescent="0.25">
      <c r="A66" s="308" t="s">
        <v>927</v>
      </c>
      <c r="B66" s="240" t="s">
        <v>928</v>
      </c>
      <c r="C66" s="240" t="s">
        <v>928</v>
      </c>
      <c r="D66" s="306" t="s">
        <v>929</v>
      </c>
      <c r="E66" s="321" t="str">
        <f t="shared" si="4"/>
        <v xml:space="preserve">CBECS - </v>
      </c>
      <c r="F66" s="238" t="str">
        <f t="shared" si="5"/>
        <v>Other</v>
      </c>
      <c r="G66" s="238" t="str">
        <f t="shared" si="6"/>
        <v>Mixed Use</v>
      </c>
      <c r="H66" s="324" t="str">
        <f t="shared" si="7"/>
        <v>Mixed Use Property</v>
      </c>
      <c r="I66" s="327" t="s">
        <v>173</v>
      </c>
    </row>
    <row r="67" spans="1:9" x14ac:dyDescent="0.25">
      <c r="A67" s="309" t="s">
        <v>425</v>
      </c>
      <c r="B67" s="239" t="s">
        <v>903</v>
      </c>
      <c r="C67" s="239" t="s">
        <v>903</v>
      </c>
      <c r="D67" s="302" t="s">
        <v>904</v>
      </c>
      <c r="E67" s="321" t="str">
        <f t="shared" si="4"/>
        <v xml:space="preserve">CBECS - </v>
      </c>
      <c r="F67" s="238" t="str">
        <f t="shared" si="5"/>
        <v>Medical Office</v>
      </c>
      <c r="G67" s="238" t="str">
        <f t="shared" si="6"/>
        <v>Office</v>
      </c>
      <c r="H67" s="324" t="str">
        <f t="shared" si="7"/>
        <v>Medical Office</v>
      </c>
      <c r="I67" s="327" t="s">
        <v>484</v>
      </c>
    </row>
    <row r="68" spans="1:9" x14ac:dyDescent="0.25">
      <c r="A68" s="310"/>
      <c r="B68" s="239" t="s">
        <v>930</v>
      </c>
      <c r="C68" s="239" t="s">
        <v>930</v>
      </c>
      <c r="D68" s="311" t="s">
        <v>844</v>
      </c>
      <c r="E68" s="321" t="str">
        <f t="shared" si="4"/>
        <v xml:space="preserve">CBECS - </v>
      </c>
      <c r="F68" s="238" t="str">
        <f t="shared" si="5"/>
        <v>Office &amp; Bank/Financial</v>
      </c>
      <c r="G68" s="238" t="str">
        <f t="shared" si="6"/>
        <v>Office</v>
      </c>
      <c r="H68" s="324" t="str">
        <f t="shared" si="7"/>
        <v>Office</v>
      </c>
      <c r="I68" s="327" t="s">
        <v>425</v>
      </c>
    </row>
    <row r="69" spans="1:9" x14ac:dyDescent="0.25">
      <c r="A69" s="312"/>
      <c r="B69" s="243" t="s">
        <v>931</v>
      </c>
      <c r="C69" s="243" t="s">
        <v>931</v>
      </c>
      <c r="D69" s="303" t="s">
        <v>909</v>
      </c>
      <c r="E69" s="321" t="str">
        <f t="shared" si="4"/>
        <v xml:space="preserve">CBECS - </v>
      </c>
      <c r="F69" s="238" t="str">
        <f t="shared" si="5"/>
        <v>Clinic/Outpatient</v>
      </c>
      <c r="G69" s="238" t="str">
        <f t="shared" si="6"/>
        <v>Office</v>
      </c>
      <c r="H69" s="324" t="str">
        <f t="shared" si="7"/>
        <v>Veterinary Office</v>
      </c>
      <c r="I69" s="327" t="s">
        <v>484</v>
      </c>
    </row>
    <row r="70" spans="1:9" x14ac:dyDescent="0.25">
      <c r="A70" s="308" t="s">
        <v>932</v>
      </c>
      <c r="B70" s="240" t="s">
        <v>932</v>
      </c>
      <c r="C70" s="240" t="s">
        <v>932</v>
      </c>
      <c r="D70" s="306" t="s">
        <v>921</v>
      </c>
      <c r="E70" s="321" t="str">
        <f t="shared" si="4"/>
        <v>None Ava</v>
      </c>
      <c r="F70" s="238" t="str">
        <f t="shared" si="5"/>
        <v/>
      </c>
      <c r="G70" s="238" t="str">
        <f t="shared" si="6"/>
        <v>Parking</v>
      </c>
      <c r="H70" s="324" t="str">
        <f t="shared" si="7"/>
        <v>Parking</v>
      </c>
      <c r="I70" s="327" t="s">
        <v>173</v>
      </c>
    </row>
    <row r="71" spans="1:9" x14ac:dyDescent="0.2">
      <c r="A71" s="294" t="s">
        <v>933</v>
      </c>
      <c r="B71" s="239" t="s">
        <v>934</v>
      </c>
      <c r="C71" s="239" t="s">
        <v>934</v>
      </c>
      <c r="D71" s="286" t="s">
        <v>935</v>
      </c>
      <c r="E71" s="321" t="str">
        <f t="shared" si="4"/>
        <v xml:space="preserve">CBECS - </v>
      </c>
      <c r="F71" s="238" t="str">
        <f t="shared" si="5"/>
        <v>Courthouse</v>
      </c>
      <c r="G71" s="238" t="str">
        <f t="shared" si="6"/>
        <v>Public Services</v>
      </c>
      <c r="H71" s="324" t="str">
        <f t="shared" si="7"/>
        <v>Courthouse</v>
      </c>
      <c r="I71" s="327" t="s">
        <v>488</v>
      </c>
    </row>
    <row r="72" spans="1:9" ht="38.25" x14ac:dyDescent="0.2">
      <c r="A72" s="295"/>
      <c r="B72" s="243" t="s">
        <v>936</v>
      </c>
      <c r="C72" s="243" t="s">
        <v>937</v>
      </c>
      <c r="D72" s="286" t="s">
        <v>938</v>
      </c>
      <c r="E72" s="321" t="str">
        <f t="shared" si="4"/>
        <v>AWWA - W</v>
      </c>
      <c r="F72" s="238" t="str">
        <f t="shared" si="5"/>
        <v/>
      </c>
      <c r="G72" s="238" t="str">
        <f t="shared" si="6"/>
        <v>Public Services</v>
      </c>
      <c r="H72" s="324" t="str">
        <f t="shared" si="7"/>
        <v>Drinking Water Treatment &amp; Distribution</v>
      </c>
      <c r="I72" s="327" t="s">
        <v>173</v>
      </c>
    </row>
    <row r="73" spans="1:9" x14ac:dyDescent="0.2">
      <c r="A73" s="295"/>
      <c r="B73" s="243" t="s">
        <v>939</v>
      </c>
      <c r="C73" s="243" t="s">
        <v>939</v>
      </c>
      <c r="D73" s="286" t="s">
        <v>940</v>
      </c>
      <c r="E73" s="321" t="str">
        <f t="shared" ref="E73:E104" si="8">LEFT(D73,8)</f>
        <v xml:space="preserve">CBECS - </v>
      </c>
      <c r="F73" s="238" t="str">
        <f t="shared" ref="F73:F104" si="9">IFERROR(IF(E73=$E$9,RIGHT(D73,LEN(D73)-8),""),F72)</f>
        <v>Fire Station/Police Station</v>
      </c>
      <c r="G73" s="238" t="str">
        <f t="shared" ref="G73:G108" si="10">IF(A73="",G72,A73)</f>
        <v>Public Services</v>
      </c>
      <c r="H73" s="324" t="str">
        <f t="shared" ref="H73:H108" si="11">TRIM(LEFT(C73,IFERROR(FIND("*",C73)-1,LEN(C73))))</f>
        <v>Fire Station</v>
      </c>
      <c r="I73" s="327" t="s">
        <v>488</v>
      </c>
    </row>
    <row r="74" spans="1:9" x14ac:dyDescent="0.2">
      <c r="A74" s="295"/>
      <c r="B74" s="243" t="s">
        <v>941</v>
      </c>
      <c r="C74" s="243" t="s">
        <v>941</v>
      </c>
      <c r="D74" s="286" t="s">
        <v>942</v>
      </c>
      <c r="E74" s="321" t="str">
        <f t="shared" si="8"/>
        <v xml:space="preserve">CBECS - </v>
      </c>
      <c r="F74" s="238" t="str">
        <f t="shared" si="9"/>
        <v>Library</v>
      </c>
      <c r="G74" s="238" t="str">
        <f t="shared" si="10"/>
        <v>Public Services</v>
      </c>
      <c r="H74" s="324" t="str">
        <f t="shared" si="11"/>
        <v>Library</v>
      </c>
      <c r="I74" s="327" t="s">
        <v>427</v>
      </c>
    </row>
    <row r="75" spans="1:9" x14ac:dyDescent="0.2">
      <c r="A75" s="295"/>
      <c r="B75" s="243" t="s">
        <v>943</v>
      </c>
      <c r="C75" s="243" t="s">
        <v>943</v>
      </c>
      <c r="D75" s="286" t="s">
        <v>944</v>
      </c>
      <c r="E75" s="321" t="str">
        <f t="shared" si="8"/>
        <v xml:space="preserve">CBECS - </v>
      </c>
      <c r="F75" s="238" t="str">
        <f t="shared" si="9"/>
        <v>Service</v>
      </c>
      <c r="G75" s="238" t="str">
        <f t="shared" si="10"/>
        <v>Public Services</v>
      </c>
      <c r="H75" s="324" t="str">
        <f t="shared" si="11"/>
        <v>Mailing Center/Post Office</v>
      </c>
      <c r="I75" s="327" t="s">
        <v>433</v>
      </c>
    </row>
    <row r="76" spans="1:9" x14ac:dyDescent="0.2">
      <c r="A76" s="295"/>
      <c r="B76" s="243" t="s">
        <v>945</v>
      </c>
      <c r="C76" s="243" t="s">
        <v>945</v>
      </c>
      <c r="D76" s="286" t="s">
        <v>940</v>
      </c>
      <c r="E76" s="321" t="str">
        <f t="shared" si="8"/>
        <v xml:space="preserve">CBECS - </v>
      </c>
      <c r="F76" s="238" t="str">
        <f t="shared" si="9"/>
        <v>Fire Station/Police Station</v>
      </c>
      <c r="G76" s="238" t="str">
        <f t="shared" si="10"/>
        <v>Public Services</v>
      </c>
      <c r="H76" s="324" t="str">
        <f t="shared" si="11"/>
        <v>Police Station</v>
      </c>
      <c r="I76" s="327" t="s">
        <v>488</v>
      </c>
    </row>
    <row r="77" spans="1:9" x14ac:dyDescent="0.2">
      <c r="A77" s="295"/>
      <c r="B77" s="243" t="s">
        <v>917</v>
      </c>
      <c r="C77" s="243" t="s">
        <v>917</v>
      </c>
      <c r="D77" s="286" t="s">
        <v>918</v>
      </c>
      <c r="E77" s="321" t="str">
        <f t="shared" si="8"/>
        <v xml:space="preserve">CBECS - </v>
      </c>
      <c r="F77" s="238" t="str">
        <f t="shared" si="9"/>
        <v>Public Order and Safety</v>
      </c>
      <c r="G77" s="238" t="str">
        <f t="shared" si="10"/>
        <v>Public Services</v>
      </c>
      <c r="H77" s="324" t="str">
        <f t="shared" si="11"/>
        <v>Prison/Incarceration</v>
      </c>
      <c r="I77" s="327" t="s">
        <v>488</v>
      </c>
    </row>
    <row r="78" spans="1:9" x14ac:dyDescent="0.2">
      <c r="A78" s="295"/>
      <c r="B78" s="243" t="s">
        <v>870</v>
      </c>
      <c r="C78" s="243" t="s">
        <v>870</v>
      </c>
      <c r="D78" s="286" t="s">
        <v>857</v>
      </c>
      <c r="E78" s="321" t="str">
        <f t="shared" si="8"/>
        <v xml:space="preserve">CBECS - </v>
      </c>
      <c r="F78" s="238" t="str">
        <f t="shared" si="9"/>
        <v>Social/Meeting</v>
      </c>
      <c r="G78" s="238" t="str">
        <f t="shared" si="10"/>
        <v>Public Services</v>
      </c>
      <c r="H78" s="324" t="str">
        <f t="shared" si="11"/>
        <v>Social/Meeting Hall</v>
      </c>
      <c r="I78" s="327" t="s">
        <v>427</v>
      </c>
    </row>
    <row r="79" spans="1:9" x14ac:dyDescent="0.2">
      <c r="A79" s="295"/>
      <c r="B79" s="243" t="s">
        <v>946</v>
      </c>
      <c r="C79" s="243" t="s">
        <v>946</v>
      </c>
      <c r="D79" s="286" t="s">
        <v>859</v>
      </c>
      <c r="E79" s="321" t="str">
        <f t="shared" si="8"/>
        <v xml:space="preserve">CBECS - </v>
      </c>
      <c r="F79" s="238" t="str">
        <f t="shared" si="9"/>
        <v>Public Assembly</v>
      </c>
      <c r="G79" s="238" t="str">
        <f t="shared" si="10"/>
        <v>Public Services</v>
      </c>
      <c r="H79" s="324" t="str">
        <f t="shared" si="11"/>
        <v>Transportation Terminal/Station</v>
      </c>
      <c r="I79" s="327" t="s">
        <v>427</v>
      </c>
    </row>
    <row r="80" spans="1:9" ht="38.25" x14ac:dyDescent="0.2">
      <c r="A80" s="295"/>
      <c r="B80" s="243" t="s">
        <v>947</v>
      </c>
      <c r="C80" s="243" t="s">
        <v>947</v>
      </c>
      <c r="D80" s="286" t="s">
        <v>948</v>
      </c>
      <c r="E80" s="321" t="str">
        <f t="shared" si="8"/>
        <v>AWWA - W</v>
      </c>
      <c r="F80" s="238" t="str">
        <f t="shared" si="9"/>
        <v/>
      </c>
      <c r="G80" s="238" t="str">
        <f t="shared" si="10"/>
        <v>Public Services</v>
      </c>
      <c r="H80" s="324" t="str">
        <f t="shared" si="11"/>
        <v>Wastewater Treatment Plant</v>
      </c>
      <c r="I80" s="327" t="s">
        <v>173</v>
      </c>
    </row>
    <row r="81" spans="1:9" x14ac:dyDescent="0.2">
      <c r="A81" s="298"/>
      <c r="B81" s="243" t="s">
        <v>949</v>
      </c>
      <c r="C81" s="243" t="s">
        <v>949</v>
      </c>
      <c r="D81" s="286" t="s">
        <v>929</v>
      </c>
      <c r="E81" s="321" t="str">
        <f t="shared" si="8"/>
        <v xml:space="preserve">CBECS - </v>
      </c>
      <c r="F81" s="238" t="str">
        <f t="shared" si="9"/>
        <v>Other</v>
      </c>
      <c r="G81" s="238" t="str">
        <f t="shared" si="10"/>
        <v>Public Services</v>
      </c>
      <c r="H81" s="324" t="str">
        <f t="shared" si="11"/>
        <v>Other - Public Services</v>
      </c>
      <c r="I81" s="327" t="s">
        <v>488</v>
      </c>
    </row>
    <row r="82" spans="1:9" x14ac:dyDescent="0.25">
      <c r="A82" s="308" t="s">
        <v>431</v>
      </c>
      <c r="B82" s="241" t="s">
        <v>950</v>
      </c>
      <c r="C82" s="241" t="s">
        <v>950</v>
      </c>
      <c r="D82" s="289" t="s">
        <v>951</v>
      </c>
      <c r="E82" s="321" t="str">
        <f t="shared" si="8"/>
        <v xml:space="preserve">CBECS - </v>
      </c>
      <c r="F82" s="238" t="str">
        <f t="shared" si="9"/>
        <v>Religious Worship</v>
      </c>
      <c r="G82" s="238" t="str">
        <f t="shared" si="10"/>
        <v>Religious Worship</v>
      </c>
      <c r="H82" s="324" t="str">
        <f t="shared" si="11"/>
        <v>Worship Facility</v>
      </c>
      <c r="I82" s="327" t="s">
        <v>431</v>
      </c>
    </row>
    <row r="83" spans="1:9" x14ac:dyDescent="0.2">
      <c r="A83" s="294" t="s">
        <v>952</v>
      </c>
      <c r="B83" s="243" t="s">
        <v>953</v>
      </c>
      <c r="C83" s="243" t="s">
        <v>953</v>
      </c>
      <c r="D83" s="286" t="s">
        <v>954</v>
      </c>
      <c r="E83" s="321" t="str">
        <f t="shared" si="8"/>
        <v xml:space="preserve">CBECS - </v>
      </c>
      <c r="F83" s="238" t="str">
        <f t="shared" si="9"/>
        <v>Retail other than Mall</v>
      </c>
      <c r="G83" s="238" t="str">
        <f t="shared" si="10"/>
        <v>Retail</v>
      </c>
      <c r="H83" s="324" t="str">
        <f t="shared" si="11"/>
        <v>Automobile Dealership</v>
      </c>
      <c r="I83" s="327" t="s">
        <v>486</v>
      </c>
    </row>
    <row r="84" spans="1:9" x14ac:dyDescent="0.2">
      <c r="A84" s="295"/>
      <c r="B84" s="244" t="s">
        <v>884</v>
      </c>
      <c r="C84" s="246" t="s">
        <v>885</v>
      </c>
      <c r="D84" s="296" t="s">
        <v>886</v>
      </c>
      <c r="E84" s="321" t="str">
        <f t="shared" si="8"/>
        <v xml:space="preserve">CBECS - </v>
      </c>
      <c r="F84" s="238" t="str">
        <f t="shared" si="9"/>
        <v>Food Sales</v>
      </c>
      <c r="G84" s="238" t="str">
        <f t="shared" si="10"/>
        <v>Retail</v>
      </c>
      <c r="H84" s="324" t="str">
        <f t="shared" si="11"/>
        <v>Convenience Store with Gas Station</v>
      </c>
      <c r="I84" s="327" t="s">
        <v>393</v>
      </c>
    </row>
    <row r="85" spans="1:9" ht="25.5" x14ac:dyDescent="0.2">
      <c r="A85" s="295"/>
      <c r="B85" s="255"/>
      <c r="C85" s="246" t="s">
        <v>887</v>
      </c>
      <c r="D85" s="296" t="s">
        <v>886</v>
      </c>
      <c r="E85" s="321" t="str">
        <f t="shared" si="8"/>
        <v xml:space="preserve">CBECS - </v>
      </c>
      <c r="F85" s="238" t="str">
        <f t="shared" si="9"/>
        <v>Food Sales</v>
      </c>
      <c r="G85" s="238" t="str">
        <f t="shared" si="10"/>
        <v>Retail</v>
      </c>
      <c r="H85" s="324" t="str">
        <f t="shared" si="11"/>
        <v>Convenience Store without Gas Station</v>
      </c>
      <c r="I85" s="327" t="s">
        <v>393</v>
      </c>
    </row>
    <row r="86" spans="1:9" x14ac:dyDescent="0.2">
      <c r="A86" s="295"/>
      <c r="B86" s="245" t="s">
        <v>955</v>
      </c>
      <c r="C86" s="246" t="s">
        <v>956</v>
      </c>
      <c r="D86" s="286" t="s">
        <v>957</v>
      </c>
      <c r="E86" s="321" t="str">
        <f t="shared" si="8"/>
        <v xml:space="preserve">CBECS - </v>
      </c>
      <c r="F86" s="238" t="str">
        <f t="shared" si="9"/>
        <v>Enclosed Mall</v>
      </c>
      <c r="G86" s="238" t="str">
        <f t="shared" si="10"/>
        <v>Retail</v>
      </c>
      <c r="H86" s="324" t="str">
        <f t="shared" si="11"/>
        <v>Enclosed Mall</v>
      </c>
      <c r="I86" s="327" t="s">
        <v>485</v>
      </c>
    </row>
    <row r="87" spans="1:9" x14ac:dyDescent="0.2">
      <c r="A87" s="295"/>
      <c r="B87" s="247"/>
      <c r="C87" s="246" t="s">
        <v>958</v>
      </c>
      <c r="D87" s="296" t="s">
        <v>959</v>
      </c>
      <c r="E87" s="321" t="str">
        <f t="shared" si="8"/>
        <v xml:space="preserve">CBECS - </v>
      </c>
      <c r="F87" s="238" t="str">
        <f t="shared" si="9"/>
        <v>Strip Shopping Mall</v>
      </c>
      <c r="G87" s="238" t="str">
        <f t="shared" si="10"/>
        <v>Retail</v>
      </c>
      <c r="H87" s="324" t="str">
        <f t="shared" si="11"/>
        <v>Lifestyle Center</v>
      </c>
      <c r="I87" s="327" t="s">
        <v>485</v>
      </c>
    </row>
    <row r="88" spans="1:9" x14ac:dyDescent="0.2">
      <c r="A88" s="295"/>
      <c r="B88" s="247"/>
      <c r="C88" s="246" t="s">
        <v>960</v>
      </c>
      <c r="D88" s="296" t="s">
        <v>959</v>
      </c>
      <c r="E88" s="321" t="str">
        <f t="shared" si="8"/>
        <v xml:space="preserve">CBECS - </v>
      </c>
      <c r="F88" s="238" t="str">
        <f t="shared" si="9"/>
        <v>Strip Shopping Mall</v>
      </c>
      <c r="G88" s="238" t="str">
        <f t="shared" si="10"/>
        <v>Retail</v>
      </c>
      <c r="H88" s="324" t="str">
        <f t="shared" si="11"/>
        <v>Strip Mall</v>
      </c>
      <c r="I88" s="327" t="s">
        <v>485</v>
      </c>
    </row>
    <row r="89" spans="1:9" ht="25.5" x14ac:dyDescent="0.2">
      <c r="A89" s="295"/>
      <c r="B89" s="248"/>
      <c r="C89" s="246" t="s">
        <v>961</v>
      </c>
      <c r="D89" s="303" t="s">
        <v>962</v>
      </c>
      <c r="E89" s="321" t="str">
        <f t="shared" si="8"/>
        <v xml:space="preserve">CBECS - </v>
      </c>
      <c r="F89" s="238" t="str">
        <f t="shared" si="9"/>
        <v>Enclosed Mall and Strip Shopping Mall</v>
      </c>
      <c r="G89" s="238" t="str">
        <f t="shared" si="10"/>
        <v>Retail</v>
      </c>
      <c r="H89" s="324" t="str">
        <f t="shared" si="11"/>
        <v>Other - Mall</v>
      </c>
      <c r="I89" s="327" t="s">
        <v>485</v>
      </c>
    </row>
    <row r="90" spans="1:9" x14ac:dyDescent="0.2">
      <c r="A90" s="295"/>
      <c r="B90" s="239" t="s">
        <v>963</v>
      </c>
      <c r="C90" s="239" t="s">
        <v>963</v>
      </c>
      <c r="D90" s="286" t="s">
        <v>895</v>
      </c>
      <c r="E90" s="321" t="str">
        <f t="shared" si="8"/>
        <v xml:space="preserve">CBECS - </v>
      </c>
      <c r="F90" s="238" t="str">
        <f t="shared" si="9"/>
        <v>Retail Store</v>
      </c>
      <c r="G90" s="238" t="str">
        <f t="shared" si="10"/>
        <v>Retail</v>
      </c>
      <c r="H90" s="324" t="str">
        <f t="shared" si="11"/>
        <v>Retail Store</v>
      </c>
      <c r="I90" s="327" t="s">
        <v>486</v>
      </c>
    </row>
    <row r="91" spans="1:9" x14ac:dyDescent="0.2">
      <c r="A91" s="295"/>
      <c r="B91" s="239" t="s">
        <v>892</v>
      </c>
      <c r="C91" s="239" t="s">
        <v>892</v>
      </c>
      <c r="D91" s="286" t="s">
        <v>893</v>
      </c>
      <c r="E91" s="321" t="str">
        <f t="shared" si="8"/>
        <v xml:space="preserve">CBECS - </v>
      </c>
      <c r="F91" s="238" t="str">
        <f t="shared" si="9"/>
        <v>Grocery Store/Food Market</v>
      </c>
      <c r="G91" s="238" t="str">
        <f t="shared" si="10"/>
        <v>Retail</v>
      </c>
      <c r="H91" s="324" t="str">
        <f t="shared" si="11"/>
        <v>Supermarket/Grocery Store</v>
      </c>
      <c r="I91" s="327" t="s">
        <v>393</v>
      </c>
    </row>
    <row r="92" spans="1:9" x14ac:dyDescent="0.2">
      <c r="A92" s="298"/>
      <c r="B92" s="239" t="s">
        <v>894</v>
      </c>
      <c r="C92" s="239" t="s">
        <v>894</v>
      </c>
      <c r="D92" s="286" t="s">
        <v>895</v>
      </c>
      <c r="E92" s="321" t="str">
        <f t="shared" si="8"/>
        <v xml:space="preserve">CBECS - </v>
      </c>
      <c r="F92" s="238" t="str">
        <f t="shared" si="9"/>
        <v>Retail Store</v>
      </c>
      <c r="G92" s="238" t="str">
        <f t="shared" si="10"/>
        <v>Retail</v>
      </c>
      <c r="H92" s="324" t="str">
        <f t="shared" si="11"/>
        <v>Wholesale Club/Supercenter</v>
      </c>
      <c r="I92" s="327" t="s">
        <v>486</v>
      </c>
    </row>
    <row r="93" spans="1:9" ht="51" x14ac:dyDescent="0.25">
      <c r="A93" s="313" t="s">
        <v>964</v>
      </c>
      <c r="B93" s="240" t="s">
        <v>965</v>
      </c>
      <c r="C93" s="240" t="s">
        <v>965</v>
      </c>
      <c r="D93" s="289" t="s">
        <v>966</v>
      </c>
      <c r="E93" s="321" t="str">
        <f t="shared" si="8"/>
        <v>EPA - Da</v>
      </c>
      <c r="F93" s="238" t="str">
        <f t="shared" si="9"/>
        <v/>
      </c>
      <c r="G93" s="238" t="str">
        <f t="shared" si="10"/>
        <v>Technology/Science</v>
      </c>
      <c r="H93" s="324" t="str">
        <f t="shared" si="11"/>
        <v>Data Center</v>
      </c>
      <c r="I93" s="327" t="s">
        <v>173</v>
      </c>
    </row>
    <row r="94" spans="1:9" x14ac:dyDescent="0.25">
      <c r="A94" s="314"/>
      <c r="B94" s="240" t="s">
        <v>967</v>
      </c>
      <c r="C94" s="240" t="s">
        <v>967</v>
      </c>
      <c r="D94" s="289" t="s">
        <v>968</v>
      </c>
      <c r="E94" s="321" t="str">
        <f t="shared" si="8"/>
        <v xml:space="preserve">CBECS - </v>
      </c>
      <c r="F94" s="238" t="str">
        <f t="shared" si="9"/>
        <v>Laboratory</v>
      </c>
      <c r="G94" s="238" t="str">
        <f t="shared" si="10"/>
        <v>Technology/Science</v>
      </c>
      <c r="H94" s="324" t="str">
        <f t="shared" si="11"/>
        <v>Laboratory</v>
      </c>
      <c r="I94" s="327" t="s">
        <v>173</v>
      </c>
    </row>
    <row r="95" spans="1:9" ht="15" x14ac:dyDescent="0.25">
      <c r="A95" s="315"/>
      <c r="B95" s="1" t="s">
        <v>969</v>
      </c>
      <c r="C95" s="1" t="s">
        <v>969</v>
      </c>
      <c r="D95" s="289" t="s">
        <v>929</v>
      </c>
      <c r="E95" s="321" t="str">
        <f t="shared" si="8"/>
        <v xml:space="preserve">CBECS - </v>
      </c>
      <c r="F95" s="238" t="str">
        <f t="shared" si="9"/>
        <v>Other</v>
      </c>
      <c r="G95" s="238" t="str">
        <f t="shared" si="10"/>
        <v>Technology/Science</v>
      </c>
      <c r="H95" s="324" t="str">
        <f t="shared" si="11"/>
        <v>Other - Technology/Science</v>
      </c>
      <c r="I95" s="327" t="s">
        <v>173</v>
      </c>
    </row>
    <row r="96" spans="1:9" ht="51" x14ac:dyDescent="0.2">
      <c r="A96" s="294" t="s">
        <v>970</v>
      </c>
      <c r="B96" s="243" t="s">
        <v>965</v>
      </c>
      <c r="C96" s="243" t="s">
        <v>965</v>
      </c>
      <c r="D96" s="286" t="s">
        <v>966</v>
      </c>
      <c r="E96" s="321" t="str">
        <f t="shared" si="8"/>
        <v>EPA - Da</v>
      </c>
      <c r="F96" s="238" t="str">
        <f t="shared" si="9"/>
        <v/>
      </c>
      <c r="G96" s="238" t="str">
        <f t="shared" si="10"/>
        <v>Services</v>
      </c>
      <c r="H96" s="324" t="str">
        <f t="shared" si="11"/>
        <v>Data Center</v>
      </c>
      <c r="I96" s="327" t="s">
        <v>433</v>
      </c>
    </row>
    <row r="97" spans="1:9" ht="25.5" x14ac:dyDescent="0.2">
      <c r="A97" s="295"/>
      <c r="B97" s="243" t="s">
        <v>971</v>
      </c>
      <c r="C97" s="243" t="s">
        <v>971</v>
      </c>
      <c r="D97" s="296" t="s">
        <v>944</v>
      </c>
      <c r="E97" s="321" t="str">
        <f t="shared" si="8"/>
        <v xml:space="preserve">CBECS - </v>
      </c>
      <c r="F97" s="238" t="str">
        <f t="shared" si="9"/>
        <v>Service</v>
      </c>
      <c r="G97" s="238" t="str">
        <f t="shared" si="10"/>
        <v>Services</v>
      </c>
      <c r="H97" s="324" t="str">
        <f t="shared" si="11"/>
        <v>Personal Services (Health/Beauty, Dry Cleaning, etc.)</v>
      </c>
      <c r="I97" s="327" t="s">
        <v>433</v>
      </c>
    </row>
    <row r="98" spans="1:9" ht="25.5" x14ac:dyDescent="0.2">
      <c r="A98" s="295"/>
      <c r="B98" s="243" t="s">
        <v>972</v>
      </c>
      <c r="C98" s="243" t="s">
        <v>972</v>
      </c>
      <c r="D98" s="296" t="s">
        <v>944</v>
      </c>
      <c r="E98" s="321" t="str">
        <f t="shared" si="8"/>
        <v xml:space="preserve">CBECS - </v>
      </c>
      <c r="F98" s="238" t="str">
        <f t="shared" si="9"/>
        <v>Service</v>
      </c>
      <c r="G98" s="238" t="str">
        <f t="shared" si="10"/>
        <v>Services</v>
      </c>
      <c r="H98" s="324" t="str">
        <f t="shared" si="11"/>
        <v>Repair Services (Vehicle, Shoe, Locksmith, etc.)</v>
      </c>
      <c r="I98" s="327" t="s">
        <v>433</v>
      </c>
    </row>
    <row r="99" spans="1:9" x14ac:dyDescent="0.2">
      <c r="A99" s="298"/>
      <c r="B99" s="243" t="s">
        <v>973</v>
      </c>
      <c r="C99" s="243" t="s">
        <v>973</v>
      </c>
      <c r="D99" s="296" t="s">
        <v>944</v>
      </c>
      <c r="E99" s="321" t="str">
        <f t="shared" si="8"/>
        <v xml:space="preserve">CBECS - </v>
      </c>
      <c r="F99" s="238" t="str">
        <f t="shared" si="9"/>
        <v>Service</v>
      </c>
      <c r="G99" s="238" t="str">
        <f t="shared" si="10"/>
        <v>Services</v>
      </c>
      <c r="H99" s="324" t="str">
        <f t="shared" si="11"/>
        <v>Other - Services</v>
      </c>
      <c r="I99" s="327" t="s">
        <v>433</v>
      </c>
    </row>
    <row r="100" spans="1:9" ht="38.25" x14ac:dyDescent="0.2">
      <c r="A100" s="288" t="s">
        <v>974</v>
      </c>
      <c r="B100" s="240" t="s">
        <v>936</v>
      </c>
      <c r="C100" s="240" t="s">
        <v>937</v>
      </c>
      <c r="D100" s="289" t="s">
        <v>938</v>
      </c>
      <c r="E100" s="321" t="str">
        <f t="shared" si="8"/>
        <v>AWWA - W</v>
      </c>
      <c r="F100" s="238" t="str">
        <f t="shared" si="9"/>
        <v/>
      </c>
      <c r="G100" s="238" t="str">
        <f t="shared" si="10"/>
        <v>Utility</v>
      </c>
      <c r="H100" s="324" t="str">
        <f t="shared" si="11"/>
        <v>Drinking Water Treatment &amp; Distribution</v>
      </c>
      <c r="I100" s="327" t="s">
        <v>173</v>
      </c>
    </row>
    <row r="101" spans="1:9" x14ac:dyDescent="0.2">
      <c r="A101" s="290"/>
      <c r="B101" s="240" t="s">
        <v>975</v>
      </c>
      <c r="C101" s="240" t="s">
        <v>975</v>
      </c>
      <c r="D101" s="289" t="s">
        <v>929</v>
      </c>
      <c r="E101" s="321" t="str">
        <f t="shared" si="8"/>
        <v xml:space="preserve">CBECS - </v>
      </c>
      <c r="F101" s="238" t="str">
        <f t="shared" si="9"/>
        <v>Other</v>
      </c>
      <c r="G101" s="238" t="str">
        <f t="shared" si="10"/>
        <v>Utility</v>
      </c>
      <c r="H101" s="324" t="str">
        <f t="shared" si="11"/>
        <v>Energy/Power Station</v>
      </c>
      <c r="I101" s="327" t="s">
        <v>173</v>
      </c>
    </row>
    <row r="102" spans="1:9" ht="38.25" x14ac:dyDescent="0.2">
      <c r="A102" s="290"/>
      <c r="B102" s="240" t="s">
        <v>976</v>
      </c>
      <c r="C102" s="240" t="s">
        <v>976</v>
      </c>
      <c r="D102" s="289" t="s">
        <v>948</v>
      </c>
      <c r="E102" s="321" t="str">
        <f t="shared" si="8"/>
        <v>AWWA - W</v>
      </c>
      <c r="F102" s="238" t="str">
        <f t="shared" si="9"/>
        <v/>
      </c>
      <c r="G102" s="238" t="str">
        <f t="shared" si="10"/>
        <v>Utility</v>
      </c>
      <c r="H102" s="324" t="str">
        <f t="shared" si="11"/>
        <v>Wastewater Treatment Plant</v>
      </c>
      <c r="I102" s="327" t="s">
        <v>173</v>
      </c>
    </row>
    <row r="103" spans="1:9" x14ac:dyDescent="0.2">
      <c r="A103" s="293"/>
      <c r="B103" s="240" t="s">
        <v>977</v>
      </c>
      <c r="C103" s="240" t="s">
        <v>977</v>
      </c>
      <c r="D103" s="289" t="s">
        <v>929</v>
      </c>
      <c r="E103" s="321" t="str">
        <f t="shared" si="8"/>
        <v xml:space="preserve">CBECS - </v>
      </c>
      <c r="F103" s="238" t="str">
        <f t="shared" si="9"/>
        <v>Other</v>
      </c>
      <c r="G103" s="238" t="str">
        <f t="shared" si="10"/>
        <v>Utility</v>
      </c>
      <c r="H103" s="324" t="str">
        <f t="shared" si="11"/>
        <v>Other - Utility</v>
      </c>
      <c r="I103" s="327" t="s">
        <v>173</v>
      </c>
    </row>
    <row r="104" spans="1:9" ht="15" x14ac:dyDescent="0.25">
      <c r="A104" s="294" t="s">
        <v>978</v>
      </c>
      <c r="B104" s="243" t="s">
        <v>979</v>
      </c>
      <c r="C104" s="243" t="s">
        <v>979</v>
      </c>
      <c r="D104" s="286" t="s">
        <v>980</v>
      </c>
      <c r="E104" s="321" t="str">
        <f t="shared" si="8"/>
        <v xml:space="preserve">CBECS – </v>
      </c>
      <c r="F104" s="238" t="str">
        <f t="shared" si="9"/>
        <v/>
      </c>
      <c r="G104" s="238" t="str">
        <f t="shared" si="10"/>
        <v>Warehouse/Storage</v>
      </c>
      <c r="H104" s="324" t="str">
        <f t="shared" si="11"/>
        <v>Self-Storage Facility</v>
      </c>
      <c r="I104" s="328" t="s">
        <v>489</v>
      </c>
    </row>
    <row r="105" spans="1:9" ht="25.5" x14ac:dyDescent="0.25">
      <c r="A105" s="295"/>
      <c r="B105" s="245" t="s">
        <v>981</v>
      </c>
      <c r="C105" s="254" t="s">
        <v>982</v>
      </c>
      <c r="D105" s="316" t="s">
        <v>983</v>
      </c>
      <c r="E105" s="321" t="str">
        <f t="shared" ref="E105:E108" si="12">LEFT(D105,8)</f>
        <v xml:space="preserve">CBECS – </v>
      </c>
      <c r="F105" s="238" t="str">
        <f t="shared" ref="F105:F108" si="13">IFERROR(IF(E105=$E$9,RIGHT(D105,LEN(D105)-8),""),F104)</f>
        <v/>
      </c>
      <c r="G105" s="238" t="str">
        <f t="shared" si="10"/>
        <v>Warehouse/Storage</v>
      </c>
      <c r="H105" s="324" t="str">
        <f t="shared" si="11"/>
        <v>Distribution Center</v>
      </c>
      <c r="I105" s="328" t="s">
        <v>489</v>
      </c>
    </row>
    <row r="106" spans="1:9" ht="25.5" x14ac:dyDescent="0.25">
      <c r="A106" s="295"/>
      <c r="B106" s="247"/>
      <c r="C106" s="254" t="s">
        <v>984</v>
      </c>
      <c r="D106" s="316" t="s">
        <v>983</v>
      </c>
      <c r="E106" s="321" t="str">
        <f t="shared" si="12"/>
        <v xml:space="preserve">CBECS – </v>
      </c>
      <c r="F106" s="238" t="str">
        <f t="shared" si="13"/>
        <v/>
      </c>
      <c r="G106" s="238" t="str">
        <f t="shared" si="10"/>
        <v>Warehouse/Storage</v>
      </c>
      <c r="H106" s="324" t="str">
        <f t="shared" si="11"/>
        <v>Non-Refrigerated Warehouse</v>
      </c>
      <c r="I106" s="328" t="s">
        <v>489</v>
      </c>
    </row>
    <row r="107" spans="1:9" ht="15" x14ac:dyDescent="0.25">
      <c r="A107" s="298"/>
      <c r="B107" s="248"/>
      <c r="C107" s="254" t="s">
        <v>985</v>
      </c>
      <c r="D107" s="286" t="s">
        <v>986</v>
      </c>
      <c r="E107" s="321" t="str">
        <f t="shared" si="12"/>
        <v xml:space="preserve">CBECS – </v>
      </c>
      <c r="F107" s="238" t="str">
        <f t="shared" si="13"/>
        <v/>
      </c>
      <c r="G107" s="238" t="str">
        <f t="shared" si="10"/>
        <v>Warehouse/Storage</v>
      </c>
      <c r="H107" s="324" t="str">
        <f t="shared" si="11"/>
        <v>Refrigerated Warehouse</v>
      </c>
      <c r="I107" s="328" t="s">
        <v>489</v>
      </c>
    </row>
    <row r="108" spans="1:9" ht="13.5" thickBot="1" x14ac:dyDescent="0.3">
      <c r="A108" s="317" t="s">
        <v>173</v>
      </c>
      <c r="B108" s="318" t="s">
        <v>173</v>
      </c>
      <c r="C108" s="318" t="s">
        <v>173</v>
      </c>
      <c r="D108" s="319" t="s">
        <v>929</v>
      </c>
      <c r="E108" s="322" t="str">
        <f t="shared" si="12"/>
        <v xml:space="preserve">CBECS - </v>
      </c>
      <c r="F108" s="323" t="str">
        <f t="shared" si="13"/>
        <v>Other</v>
      </c>
      <c r="G108" s="323" t="str">
        <f t="shared" si="10"/>
        <v>Other</v>
      </c>
      <c r="H108" s="329" t="str">
        <f t="shared" si="11"/>
        <v>Other</v>
      </c>
      <c r="I108" s="330" t="s">
        <v>173</v>
      </c>
    </row>
  </sheetData>
  <hyperlinks>
    <hyperlink ref="B4" r:id="rId1" xr:uid="{6AC01207-9469-4696-9672-4010ECF01A38}"/>
    <hyperlink ref="B5" r:id="rId2" xr:uid="{9E692667-EF56-4129-AEA6-25FEC76FB57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7E8B2-D2DE-4CE4-A430-58C223654344}">
  <dimension ref="A1:R28"/>
  <sheetViews>
    <sheetView workbookViewId="0"/>
  </sheetViews>
  <sheetFormatPr defaultRowHeight="14.25" x14ac:dyDescent="0.2"/>
  <cols>
    <col min="1" max="1" width="9.140625" style="138"/>
    <col min="2" max="2" width="30.7109375" style="138" customWidth="1"/>
    <col min="3" max="3" width="19.28515625" style="138" customWidth="1"/>
    <col min="4" max="4" width="19.85546875" style="138" customWidth="1"/>
    <col min="5" max="5" width="17.5703125" style="138" customWidth="1"/>
    <col min="6" max="6" width="18.140625" style="138" customWidth="1"/>
    <col min="7" max="7" width="13.85546875" style="138" customWidth="1"/>
    <col min="8" max="8" width="17.5703125" style="138" bestFit="1" customWidth="1"/>
    <col min="9" max="9" width="19" style="138" customWidth="1"/>
    <col min="10" max="11" width="17.5703125" style="138" bestFit="1" customWidth="1"/>
    <col min="12" max="12" width="15.85546875" style="138" customWidth="1"/>
    <col min="13" max="13" width="18" style="138" customWidth="1"/>
    <col min="14" max="14" width="17.5703125" style="138" bestFit="1" customWidth="1"/>
    <col min="15" max="15" width="17.28515625" style="138" bestFit="1" customWidth="1"/>
    <col min="16" max="22" width="9.140625" style="138"/>
    <col min="23" max="24" width="23.85546875" style="138" customWidth="1"/>
    <col min="25" max="34" width="9.140625" style="138"/>
    <col min="35" max="35" width="26.7109375" style="138" customWidth="1"/>
    <col min="36" max="41" width="11.5703125" style="138" customWidth="1"/>
    <col min="42" max="42" width="16.5703125" style="138" customWidth="1"/>
    <col min="43" max="53" width="11.5703125" style="138" customWidth="1"/>
    <col min="54" max="16384" width="9.140625" style="138"/>
  </cols>
  <sheetData>
    <row r="1" spans="1:13" ht="20.25" x14ac:dyDescent="0.3">
      <c r="A1" s="272" t="s">
        <v>987</v>
      </c>
      <c r="F1" s="138" t="s">
        <v>988</v>
      </c>
    </row>
    <row r="2" spans="1:13" x14ac:dyDescent="0.2">
      <c r="B2" s="593" t="s">
        <v>989</v>
      </c>
      <c r="C2" s="138" t="s">
        <v>990</v>
      </c>
      <c r="D2" s="138" t="s">
        <v>991</v>
      </c>
      <c r="E2" s="274"/>
      <c r="F2" s="274"/>
      <c r="G2" s="274"/>
    </row>
    <row r="3" spans="1:13" ht="28.5" x14ac:dyDescent="0.2">
      <c r="B3" s="273" t="s">
        <v>992</v>
      </c>
      <c r="C3" s="274" t="s">
        <v>993</v>
      </c>
      <c r="D3" s="138" t="s">
        <v>991</v>
      </c>
      <c r="E3" s="274"/>
      <c r="F3" s="274"/>
      <c r="G3" s="274"/>
    </row>
    <row r="4" spans="1:13" x14ac:dyDescent="0.2">
      <c r="C4" s="138" t="s">
        <v>994</v>
      </c>
      <c r="D4" s="138" t="s">
        <v>991</v>
      </c>
    </row>
    <row r="5" spans="1:13" x14ac:dyDescent="0.2">
      <c r="C5" s="138" t="s">
        <v>995</v>
      </c>
      <c r="D5" s="138" t="s">
        <v>996</v>
      </c>
    </row>
    <row r="7" spans="1:13" ht="42.75" x14ac:dyDescent="0.2">
      <c r="C7" s="138" t="s">
        <v>997</v>
      </c>
      <c r="D7" s="275" t="s">
        <v>998</v>
      </c>
      <c r="E7" s="275" t="s">
        <v>999</v>
      </c>
    </row>
    <row r="8" spans="1:13" x14ac:dyDescent="0.2">
      <c r="C8" s="138" t="s">
        <v>1000</v>
      </c>
      <c r="D8" s="276">
        <v>0</v>
      </c>
      <c r="E8" s="594">
        <v>2.3855910242193104</v>
      </c>
    </row>
    <row r="9" spans="1:13" x14ac:dyDescent="0.2">
      <c r="C9" s="138" t="s">
        <v>1001</v>
      </c>
      <c r="D9" s="277">
        <v>0.62000012096616908</v>
      </c>
      <c r="E9" s="276">
        <v>4.2148239607084768E-2</v>
      </c>
    </row>
    <row r="10" spans="1:13" x14ac:dyDescent="0.2">
      <c r="D10" s="276"/>
      <c r="E10" s="276"/>
      <c r="F10" s="276"/>
      <c r="G10" s="276"/>
    </row>
    <row r="12" spans="1:13" ht="15" x14ac:dyDescent="0.25">
      <c r="B12" s="593" t="s">
        <v>1002</v>
      </c>
      <c r="C12" s="138" t="s">
        <v>990</v>
      </c>
      <c r="D12" s="138" t="s">
        <v>991</v>
      </c>
      <c r="E12" s="274"/>
      <c r="F12" s="274"/>
      <c r="H12" s="597"/>
      <c r="I12" s="263" t="s">
        <v>990</v>
      </c>
      <c r="J12" s="21">
        <v>1</v>
      </c>
      <c r="K12" s="595"/>
      <c r="L12" s="595"/>
    </row>
    <row r="13" spans="1:13" ht="29.25" x14ac:dyDescent="0.25">
      <c r="B13" s="273" t="s">
        <v>1003</v>
      </c>
      <c r="C13" s="274" t="s">
        <v>993</v>
      </c>
      <c r="D13" s="138" t="s">
        <v>991</v>
      </c>
      <c r="E13" s="274"/>
      <c r="F13" s="274"/>
      <c r="H13" s="597"/>
      <c r="I13" s="263" t="s">
        <v>995</v>
      </c>
      <c r="J13" s="21">
        <v>5</v>
      </c>
      <c r="K13" s="595"/>
      <c r="L13" s="595"/>
    </row>
    <row r="14" spans="1:13" ht="15" x14ac:dyDescent="0.25">
      <c r="C14" s="138" t="s">
        <v>994</v>
      </c>
      <c r="D14" s="138" t="s">
        <v>991</v>
      </c>
      <c r="H14" s="597"/>
      <c r="I14" s="263" t="s">
        <v>994</v>
      </c>
      <c r="J14" s="263" t="s">
        <v>991</v>
      </c>
      <c r="K14" s="263"/>
      <c r="L14" s="263"/>
    </row>
    <row r="15" spans="1:13" ht="30" x14ac:dyDescent="0.25">
      <c r="C15" s="138" t="s">
        <v>995</v>
      </c>
      <c r="D15" s="138" t="s">
        <v>996</v>
      </c>
      <c r="H15" s="597"/>
      <c r="I15" s="595" t="s">
        <v>993</v>
      </c>
      <c r="J15" s="263" t="s">
        <v>1532</v>
      </c>
      <c r="K15" s="263"/>
      <c r="L15" s="263"/>
    </row>
    <row r="16" spans="1:13" ht="15" x14ac:dyDescent="0.25">
      <c r="H16" s="597"/>
      <c r="I16" s="263" t="s">
        <v>1005</v>
      </c>
      <c r="J16" s="263" t="s">
        <v>1532</v>
      </c>
      <c r="K16" s="263"/>
      <c r="L16" s="263"/>
      <c r="M16" s="274"/>
    </row>
    <row r="17" spans="3:18" ht="45" x14ac:dyDescent="0.25">
      <c r="C17" s="274" t="s">
        <v>1004</v>
      </c>
      <c r="D17" s="274" t="s">
        <v>1005</v>
      </c>
      <c r="E17" s="275" t="s">
        <v>1006</v>
      </c>
      <c r="F17" s="275" t="s">
        <v>1007</v>
      </c>
      <c r="H17" s="597"/>
      <c r="I17" s="603" t="s">
        <v>450</v>
      </c>
      <c r="J17" s="599" t="s">
        <v>1529</v>
      </c>
      <c r="K17" s="599" t="s">
        <v>1530</v>
      </c>
      <c r="L17" s="599" t="s">
        <v>1531</v>
      </c>
      <c r="M17" s="599" t="s">
        <v>1533</v>
      </c>
      <c r="N17" s="599" t="s">
        <v>1539</v>
      </c>
    </row>
    <row r="18" spans="3:18" ht="15" x14ac:dyDescent="0.25">
      <c r="C18" s="138" t="s">
        <v>1008</v>
      </c>
      <c r="D18" s="138" t="s">
        <v>523</v>
      </c>
      <c r="E18" s="594">
        <v>17.688657850933261</v>
      </c>
      <c r="F18" s="276">
        <v>10.904241292859355</v>
      </c>
      <c r="I18" s="263" t="s">
        <v>1534</v>
      </c>
      <c r="J18" s="598">
        <v>3011984.867898989</v>
      </c>
      <c r="K18" s="598">
        <v>51475497075.418488</v>
      </c>
      <c r="L18" s="598">
        <v>100248065310.96861</v>
      </c>
      <c r="M18" s="598">
        <v>2573255389.0420032</v>
      </c>
      <c r="N18" s="598">
        <f>L18/M18</f>
        <v>38.95768206213296</v>
      </c>
      <c r="O18" s="416">
        <f>AVERAGE(P18:R18)</f>
        <v>64.333333333333329</v>
      </c>
      <c r="P18" s="602">
        <v>60</v>
      </c>
      <c r="Q18" s="138">
        <v>68</v>
      </c>
      <c r="R18" s="138">
        <v>65</v>
      </c>
    </row>
    <row r="19" spans="3:18" ht="15" x14ac:dyDescent="0.25">
      <c r="C19" s="138" t="s">
        <v>1008</v>
      </c>
      <c r="D19" s="138" t="s">
        <v>221</v>
      </c>
      <c r="E19" s="277">
        <v>10.926479438658347</v>
      </c>
      <c r="F19" s="276">
        <v>7.8066700916818856</v>
      </c>
      <c r="I19" s="263" t="s">
        <v>1535</v>
      </c>
      <c r="J19" s="598">
        <v>860125.75733073859</v>
      </c>
      <c r="K19" s="598">
        <v>3237225693.1667957</v>
      </c>
      <c r="L19" s="598">
        <v>16422169843.470169</v>
      </c>
      <c r="M19" s="598">
        <v>696419342.57854283</v>
      </c>
      <c r="N19" s="598">
        <f t="shared" ref="N19:N24" si="0">L19/M19</f>
        <v>23.580864056224947</v>
      </c>
      <c r="O19" s="416">
        <f>AVERAGE(P19:R19)</f>
        <v>29</v>
      </c>
      <c r="P19" s="602">
        <v>30</v>
      </c>
      <c r="Q19" s="138">
        <v>30</v>
      </c>
      <c r="R19" s="138">
        <v>27</v>
      </c>
    </row>
    <row r="20" spans="3:18" ht="15" x14ac:dyDescent="0.25">
      <c r="C20" s="138" t="s">
        <v>1009</v>
      </c>
      <c r="D20" s="138" t="s">
        <v>523</v>
      </c>
      <c r="E20" s="594">
        <v>17.767052094085397</v>
      </c>
      <c r="F20" s="276">
        <v>10.522061490953867</v>
      </c>
      <c r="I20" s="263" t="s">
        <v>1536</v>
      </c>
      <c r="J20" s="598">
        <v>92656.277928662399</v>
      </c>
      <c r="K20" s="598">
        <v>478449584.66765624</v>
      </c>
      <c r="L20" s="598">
        <v>2252586587.8660417</v>
      </c>
      <c r="M20" s="598">
        <v>85326069.482277557</v>
      </c>
      <c r="N20" s="598">
        <f t="shared" si="0"/>
        <v>26.399746308880541</v>
      </c>
      <c r="O20" s="416"/>
      <c r="P20" s="602"/>
    </row>
    <row r="21" spans="3:18" ht="15" x14ac:dyDescent="0.25">
      <c r="C21" s="138" t="s">
        <v>1009</v>
      </c>
      <c r="D21" s="138" t="s">
        <v>221</v>
      </c>
      <c r="E21" s="277">
        <v>7.7405877533895531</v>
      </c>
      <c r="F21" s="276">
        <v>4.9977943354303003</v>
      </c>
      <c r="I21" s="263" t="s">
        <v>131</v>
      </c>
      <c r="J21" s="598">
        <v>177796.9299754836</v>
      </c>
      <c r="K21" s="598">
        <v>1015094167.5670316</v>
      </c>
      <c r="L21" s="598">
        <v>3935310320.6402092</v>
      </c>
      <c r="M21" s="598">
        <v>144779969.76299915</v>
      </c>
      <c r="N21" s="598">
        <f t="shared" si="0"/>
        <v>27.181317464578868</v>
      </c>
      <c r="O21" s="416">
        <f>AVERAGE(P21:R21)</f>
        <v>30.666666666666668</v>
      </c>
      <c r="P21" s="602">
        <v>30</v>
      </c>
      <c r="Q21" s="138">
        <v>35</v>
      </c>
      <c r="R21" s="138">
        <v>27</v>
      </c>
    </row>
    <row r="22" spans="3:18" ht="15" x14ac:dyDescent="0.25">
      <c r="E22" s="276"/>
      <c r="F22" s="276"/>
      <c r="I22" s="263" t="s">
        <v>1537</v>
      </c>
      <c r="J22" s="598">
        <v>2719935.8713319059</v>
      </c>
      <c r="K22" s="598">
        <v>42871302575.446678</v>
      </c>
      <c r="L22" s="598">
        <v>94621645110.739594</v>
      </c>
      <c r="M22" s="598">
        <v>2291739232.8592968</v>
      </c>
      <c r="N22" s="598">
        <f t="shared" si="0"/>
        <v>41.288137740123496</v>
      </c>
      <c r="O22" s="416">
        <f>AVERAGE(P22:R22)</f>
        <v>30.930957180267104</v>
      </c>
      <c r="P22" s="602">
        <v>30.152643118304706</v>
      </c>
      <c r="Q22" s="602">
        <v>35.152643118304709</v>
      </c>
      <c r="R22" s="602">
        <v>27.487585304191896</v>
      </c>
    </row>
    <row r="23" spans="3:18" ht="15" x14ac:dyDescent="0.25">
      <c r="I23" s="263" t="s">
        <v>1538</v>
      </c>
      <c r="J23" s="598">
        <v>96799.581707785197</v>
      </c>
      <c r="K23" s="598">
        <v>1613109481.3615751</v>
      </c>
      <c r="L23" s="598">
        <v>2818806041.3818455</v>
      </c>
      <c r="M23" s="598">
        <v>55494504.92320922</v>
      </c>
      <c r="N23" s="598">
        <f t="shared" si="0"/>
        <v>50.794327209196325</v>
      </c>
      <c r="O23" s="416"/>
      <c r="P23" s="602"/>
    </row>
    <row r="24" spans="3:18" ht="15" x14ac:dyDescent="0.25">
      <c r="I24" s="600" t="s">
        <v>1284</v>
      </c>
      <c r="J24" s="601">
        <v>6959299.2861735644</v>
      </c>
      <c r="K24" s="601">
        <v>100690678577.62822</v>
      </c>
      <c r="L24" s="601">
        <v>220298583215.06647</v>
      </c>
      <c r="M24" s="601">
        <v>5847014508.6483278</v>
      </c>
      <c r="N24" s="601">
        <f t="shared" si="0"/>
        <v>37.677105621890028</v>
      </c>
      <c r="O24" s="416"/>
      <c r="P24" s="602"/>
    </row>
    <row r="25" spans="3:18" ht="15" x14ac:dyDescent="0.25">
      <c r="I25" s="263"/>
      <c r="J25" s="598"/>
      <c r="K25" s="598"/>
      <c r="L25" s="598"/>
      <c r="M25" s="416"/>
      <c r="N25" s="597"/>
      <c r="O25" s="416"/>
      <c r="P25" s="602"/>
    </row>
    <row r="26" spans="3:18" ht="15" x14ac:dyDescent="0.25">
      <c r="I26" s="263"/>
      <c r="J26" s="598"/>
      <c r="K26" s="598"/>
      <c r="L26" s="598"/>
      <c r="M26" s="416"/>
      <c r="N26" s="597"/>
      <c r="O26" s="416"/>
      <c r="P26" s="602"/>
    </row>
    <row r="27" spans="3:18" ht="15" x14ac:dyDescent="0.25">
      <c r="I27" s="263"/>
      <c r="J27" s="598"/>
      <c r="K27" s="598"/>
      <c r="L27" s="598"/>
      <c r="M27" s="416"/>
      <c r="N27" s="597"/>
      <c r="O27" s="416"/>
      <c r="P27" s="602"/>
    </row>
    <row r="28" spans="3:18" ht="15" x14ac:dyDescent="0.25">
      <c r="I28" s="263"/>
      <c r="J28" s="598"/>
      <c r="K28" s="598"/>
      <c r="L28" s="598"/>
      <c r="M28" s="416"/>
      <c r="O28" s="416"/>
      <c r="P28" s="602"/>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5360F-0A09-4B7A-B2A8-3830C1167315}">
  <dimension ref="A1:AC120"/>
  <sheetViews>
    <sheetView topLeftCell="A13" workbookViewId="0"/>
  </sheetViews>
  <sheetFormatPr defaultColWidth="9.140625" defaultRowHeight="12.75" x14ac:dyDescent="0.2"/>
  <cols>
    <col min="1" max="1" width="43.7109375" style="228" customWidth="1"/>
    <col min="2" max="6" width="9.140625" style="228"/>
    <col min="7" max="7" width="59.85546875" style="228" customWidth="1"/>
    <col min="8" max="8" width="10.5703125" style="228" bestFit="1" customWidth="1"/>
    <col min="9" max="9" width="11.5703125" style="228" customWidth="1"/>
    <col min="10" max="10" width="38.85546875" style="227" customWidth="1"/>
    <col min="11" max="17" width="9.140625" style="228"/>
    <col min="18" max="18" width="32.7109375" style="228" customWidth="1"/>
    <col min="19" max="19" width="13.5703125" style="228" bestFit="1" customWidth="1"/>
    <col min="20" max="20" width="10.85546875" style="228" bestFit="1" customWidth="1"/>
    <col min="21" max="25" width="9.140625" style="228"/>
    <col min="26" max="26" width="11.7109375" style="228" bestFit="1" customWidth="1"/>
    <col min="27" max="27" width="12" style="228" bestFit="1" customWidth="1"/>
    <col min="28" max="16384" width="9.140625" style="228"/>
  </cols>
  <sheetData>
    <row r="1" spans="1:17" ht="77.25" thickBot="1" x14ac:dyDescent="0.25">
      <c r="A1" s="561" t="s">
        <v>1493</v>
      </c>
    </row>
    <row r="2" spans="1:17" ht="38.25" x14ac:dyDescent="0.2">
      <c r="A2" s="199" t="s">
        <v>533</v>
      </c>
      <c r="B2" s="361" t="s">
        <v>477</v>
      </c>
      <c r="C2" s="361" t="s">
        <v>1010</v>
      </c>
      <c r="D2" s="362" t="s">
        <v>1011</v>
      </c>
      <c r="E2" s="128"/>
      <c r="F2" s="395"/>
      <c r="G2" s="415" t="s">
        <v>1012</v>
      </c>
      <c r="H2" s="395"/>
      <c r="I2" s="395"/>
      <c r="J2" s="415"/>
      <c r="K2" s="395"/>
      <c r="L2" s="395"/>
      <c r="M2" s="395"/>
      <c r="N2" s="395"/>
      <c r="O2" s="395"/>
      <c r="P2" s="395"/>
      <c r="Q2" s="395"/>
    </row>
    <row r="3" spans="1:17" x14ac:dyDescent="0.2">
      <c r="A3" s="235" t="s">
        <v>1013</v>
      </c>
      <c r="B3" s="408">
        <v>0</v>
      </c>
      <c r="C3" s="404">
        <f>B17</f>
        <v>18.461869918699186</v>
      </c>
      <c r="D3" s="462">
        <f>B21+C3</f>
        <v>57.669778272357725</v>
      </c>
      <c r="E3" s="404"/>
      <c r="F3" s="395"/>
      <c r="G3" s="225" t="s">
        <v>1014</v>
      </c>
      <c r="H3" s="415" t="s">
        <v>1015</v>
      </c>
      <c r="I3" s="415" t="s">
        <v>1016</v>
      </c>
      <c r="J3" s="415" t="s">
        <v>1017</v>
      </c>
      <c r="K3" s="395"/>
      <c r="L3" s="395"/>
      <c r="M3" s="395"/>
      <c r="N3" s="395"/>
      <c r="O3" s="395"/>
      <c r="P3" s="395"/>
      <c r="Q3" s="395"/>
    </row>
    <row r="4" spans="1:17" ht="39" thickBot="1" x14ac:dyDescent="0.25">
      <c r="A4" s="358" t="s">
        <v>1018</v>
      </c>
      <c r="B4" s="433">
        <v>0</v>
      </c>
      <c r="C4" s="463">
        <f>B18</f>
        <v>18.461869918699186</v>
      </c>
      <c r="D4" s="464">
        <f>B22+C4</f>
        <v>57.669778272357725</v>
      </c>
      <c r="E4" s="404"/>
      <c r="F4" s="395"/>
      <c r="G4" s="415" t="s">
        <v>1019</v>
      </c>
      <c r="H4" s="415">
        <v>2.5</v>
      </c>
      <c r="I4" s="415"/>
      <c r="J4" s="415" t="s">
        <v>1020</v>
      </c>
      <c r="K4" s="395"/>
      <c r="L4" s="395"/>
      <c r="M4" s="395"/>
      <c r="N4" s="395"/>
      <c r="O4" s="395"/>
      <c r="P4" s="395"/>
      <c r="Q4" s="395"/>
    </row>
    <row r="5" spans="1:17" x14ac:dyDescent="0.2">
      <c r="A5" s="395"/>
      <c r="B5" s="395"/>
      <c r="C5" s="395"/>
      <c r="D5" s="395"/>
      <c r="E5" s="395"/>
      <c r="F5" s="395"/>
      <c r="G5" s="415" t="s">
        <v>1021</v>
      </c>
      <c r="H5" s="415">
        <v>1000</v>
      </c>
      <c r="I5" s="415" t="s">
        <v>461</v>
      </c>
      <c r="J5" s="415"/>
      <c r="K5" s="395"/>
      <c r="L5" s="395"/>
      <c r="M5" s="395"/>
      <c r="N5" s="395"/>
      <c r="O5" s="395"/>
      <c r="P5" s="395"/>
      <c r="Q5" s="395"/>
    </row>
    <row r="6" spans="1:17" ht="25.5" x14ac:dyDescent="0.2">
      <c r="A6" s="395"/>
      <c r="B6" s="395"/>
      <c r="C6" s="395"/>
      <c r="D6" s="395"/>
      <c r="E6" s="395"/>
      <c r="F6" s="395"/>
      <c r="G6" s="415" t="s">
        <v>1022</v>
      </c>
      <c r="H6" s="415">
        <v>12000</v>
      </c>
      <c r="I6" s="415" t="s">
        <v>1023</v>
      </c>
      <c r="J6" s="415"/>
      <c r="K6" s="395"/>
      <c r="L6" s="395"/>
      <c r="M6" s="395"/>
      <c r="N6" s="395"/>
      <c r="O6" s="395"/>
      <c r="P6" s="395"/>
      <c r="Q6" s="395"/>
    </row>
    <row r="7" spans="1:17" x14ac:dyDescent="0.2">
      <c r="A7" s="173" t="s">
        <v>1024</v>
      </c>
      <c r="B7" s="395"/>
      <c r="C7" s="395"/>
      <c r="D7" s="395"/>
      <c r="E7" s="395"/>
      <c r="F7" s="395"/>
      <c r="G7" s="415"/>
      <c r="H7" s="395"/>
      <c r="I7" s="395"/>
      <c r="J7" s="415"/>
      <c r="K7" s="395"/>
      <c r="L7" s="395"/>
      <c r="M7" s="395"/>
      <c r="N7" s="395"/>
      <c r="O7" s="395"/>
      <c r="P7" s="395"/>
      <c r="Q7" s="395"/>
    </row>
    <row r="8" spans="1:17" x14ac:dyDescent="0.2">
      <c r="A8" s="395"/>
      <c r="B8" s="395"/>
      <c r="C8" s="395" t="s">
        <v>1025</v>
      </c>
      <c r="D8" s="395" t="s">
        <v>1026</v>
      </c>
      <c r="E8" s="395"/>
      <c r="F8" s="395"/>
      <c r="G8" s="225" t="s">
        <v>1027</v>
      </c>
      <c r="H8" s="415" t="s">
        <v>1015</v>
      </c>
      <c r="I8" s="415" t="s">
        <v>1016</v>
      </c>
      <c r="J8" s="415" t="s">
        <v>1017</v>
      </c>
      <c r="K8" s="395"/>
      <c r="L8" s="395"/>
      <c r="M8" s="395"/>
      <c r="N8" s="395"/>
      <c r="O8" s="395"/>
      <c r="P8" s="395"/>
      <c r="Q8" s="395"/>
    </row>
    <row r="9" spans="1:17" x14ac:dyDescent="0.2">
      <c r="A9" s="395"/>
      <c r="B9" s="395" t="s">
        <v>1028</v>
      </c>
      <c r="C9" s="395" t="s">
        <v>459</v>
      </c>
      <c r="D9" s="395" t="s">
        <v>1029</v>
      </c>
      <c r="E9" s="395"/>
      <c r="F9" s="395"/>
      <c r="G9" s="415" t="s">
        <v>1030</v>
      </c>
      <c r="H9" s="395">
        <v>1.2</v>
      </c>
      <c r="I9" s="395" t="s">
        <v>1031</v>
      </c>
      <c r="J9" s="415" t="s">
        <v>1032</v>
      </c>
      <c r="K9" s="395"/>
      <c r="L9" s="395"/>
      <c r="M9" s="395"/>
      <c r="N9" s="395"/>
      <c r="O9" s="395"/>
      <c r="P9" s="395"/>
      <c r="Q9" s="395" t="s">
        <v>1033</v>
      </c>
    </row>
    <row r="10" spans="1:17" ht="51.75" thickBot="1" x14ac:dyDescent="0.25">
      <c r="A10" s="395" t="s">
        <v>1034</v>
      </c>
      <c r="B10" s="465">
        <f>H11</f>
        <v>1.7799999999999998</v>
      </c>
      <c r="C10" s="406">
        <f>H6*0.75/(65-11)*24*4485/H5/1000</f>
        <v>17.940000000000001</v>
      </c>
      <c r="D10" s="395"/>
      <c r="E10" s="395"/>
      <c r="F10" s="395"/>
      <c r="G10" s="415" t="s">
        <v>1035</v>
      </c>
      <c r="H10" s="395">
        <f>(0.45+0.71)/2</f>
        <v>0.57999999999999996</v>
      </c>
      <c r="I10" s="395" t="s">
        <v>1031</v>
      </c>
      <c r="J10" s="415" t="s">
        <v>1036</v>
      </c>
      <c r="K10" s="395"/>
      <c r="L10" s="395"/>
      <c r="M10" s="395"/>
      <c r="N10" s="395"/>
      <c r="O10" s="395"/>
      <c r="P10" s="395"/>
      <c r="Q10" s="395"/>
    </row>
    <row r="11" spans="1:17" ht="13.5" thickBot="1" x14ac:dyDescent="0.25">
      <c r="A11" s="363" t="s">
        <v>1037</v>
      </c>
      <c r="B11" s="364">
        <f>H45</f>
        <v>6.93</v>
      </c>
      <c r="C11" s="414"/>
      <c r="D11" s="395"/>
      <c r="E11" s="395"/>
      <c r="F11" s="395"/>
      <c r="G11" s="225" t="s">
        <v>1038</v>
      </c>
      <c r="H11" s="229">
        <f>H10+H9</f>
        <v>1.7799999999999998</v>
      </c>
      <c r="I11" s="173" t="s">
        <v>1039</v>
      </c>
      <c r="J11" s="415"/>
      <c r="K11" s="395"/>
      <c r="L11" s="395"/>
      <c r="M11" s="395"/>
      <c r="N11" s="395"/>
      <c r="O11" s="395"/>
      <c r="P11" s="395"/>
      <c r="Q11" s="395"/>
    </row>
    <row r="12" spans="1:17" x14ac:dyDescent="0.2">
      <c r="A12" s="395" t="s">
        <v>1040</v>
      </c>
      <c r="B12" s="414">
        <f>H18</f>
        <v>14.75</v>
      </c>
      <c r="C12" s="414"/>
      <c r="D12" s="395"/>
      <c r="E12" s="395"/>
      <c r="F12" s="395"/>
      <c r="G12" s="225"/>
      <c r="H12" s="230"/>
      <c r="I12" s="395"/>
      <c r="J12" s="415"/>
      <c r="K12" s="395"/>
      <c r="L12" s="395"/>
      <c r="M12" s="395"/>
      <c r="N12" s="395"/>
      <c r="O12" s="395"/>
      <c r="P12" s="395"/>
      <c r="Q12" s="395"/>
    </row>
    <row r="13" spans="1:17" x14ac:dyDescent="0.2">
      <c r="A13" s="395" t="str">
        <f>G21</f>
        <v>Ground loop with WSHPs</v>
      </c>
      <c r="B13" s="414">
        <f>H27</f>
        <v>29.25</v>
      </c>
      <c r="C13" s="414"/>
      <c r="D13" s="395"/>
      <c r="E13" s="395"/>
      <c r="F13" s="395"/>
      <c r="G13" s="225" t="s">
        <v>1041</v>
      </c>
      <c r="H13" s="415" t="s">
        <v>1015</v>
      </c>
      <c r="I13" s="415" t="s">
        <v>1016</v>
      </c>
      <c r="J13" s="415" t="s">
        <v>1017</v>
      </c>
      <c r="K13" s="395"/>
      <c r="L13" s="395"/>
      <c r="M13" s="395"/>
      <c r="N13" s="395"/>
      <c r="O13" s="395"/>
      <c r="P13" s="395"/>
      <c r="Q13" s="395"/>
    </row>
    <row r="14" spans="1:17" x14ac:dyDescent="0.2">
      <c r="A14" s="395" t="str">
        <f>G29</f>
        <v>PTHPs</v>
      </c>
      <c r="B14" s="414">
        <f>H33</f>
        <v>12</v>
      </c>
      <c r="C14" s="414"/>
      <c r="D14" s="395"/>
      <c r="E14" s="395"/>
      <c r="F14" s="395"/>
      <c r="G14" s="415" t="s">
        <v>1042</v>
      </c>
      <c r="H14" s="414">
        <v>10</v>
      </c>
      <c r="I14" s="395" t="s">
        <v>1039</v>
      </c>
      <c r="J14" s="415" t="s">
        <v>1043</v>
      </c>
      <c r="K14" s="395"/>
      <c r="L14" s="395"/>
      <c r="M14" s="395"/>
      <c r="N14" s="395"/>
      <c r="O14" s="395"/>
      <c r="P14" s="395"/>
      <c r="Q14" s="395"/>
    </row>
    <row r="15" spans="1:17" ht="39.6" customHeight="1" x14ac:dyDescent="0.2">
      <c r="A15" s="395" t="str">
        <f>G35</f>
        <v>VRF</v>
      </c>
      <c r="B15" s="414">
        <f>H36</f>
        <v>24.967479674796749</v>
      </c>
      <c r="C15" s="395"/>
      <c r="D15" s="395"/>
      <c r="E15" s="395"/>
      <c r="F15" s="395"/>
      <c r="G15" s="415" t="s">
        <v>1044</v>
      </c>
      <c r="H15" s="414">
        <v>300</v>
      </c>
      <c r="I15" s="395" t="s">
        <v>1045</v>
      </c>
      <c r="J15" s="415" t="s">
        <v>1046</v>
      </c>
      <c r="K15" s="395"/>
      <c r="L15" s="395"/>
      <c r="M15" s="395"/>
      <c r="N15" s="395"/>
      <c r="O15" s="395"/>
      <c r="P15" s="395"/>
      <c r="Q15" s="395"/>
    </row>
    <row r="16" spans="1:17" x14ac:dyDescent="0.2">
      <c r="A16" s="395" t="s">
        <v>1047</v>
      </c>
      <c r="B16" s="395"/>
      <c r="C16" s="395"/>
      <c r="D16" s="395"/>
      <c r="E16" s="395"/>
      <c r="F16" s="395"/>
      <c r="G16" s="415" t="s">
        <v>1048</v>
      </c>
      <c r="H16" s="395">
        <f>0.1+0.2</f>
        <v>0.30000000000000004</v>
      </c>
      <c r="I16" s="395" t="s">
        <v>1039</v>
      </c>
      <c r="J16" s="415" t="s">
        <v>1043</v>
      </c>
      <c r="K16" s="395"/>
      <c r="L16" s="395"/>
      <c r="M16" s="395"/>
      <c r="N16" s="395"/>
      <c r="O16" s="395"/>
      <c r="P16" s="395"/>
      <c r="Q16" s="395"/>
    </row>
    <row r="17" spans="1:29" x14ac:dyDescent="0.2">
      <c r="A17" s="395" t="s">
        <v>1013</v>
      </c>
      <c r="B17" s="405">
        <f>B18</f>
        <v>18.461869918699186</v>
      </c>
      <c r="C17" s="395"/>
      <c r="D17" s="395"/>
      <c r="E17" s="395"/>
      <c r="F17" s="395"/>
      <c r="G17" s="415" t="s">
        <v>1049</v>
      </c>
      <c r="H17" s="414">
        <v>4</v>
      </c>
      <c r="I17" s="395" t="s">
        <v>1039</v>
      </c>
      <c r="J17" s="415"/>
      <c r="K17" s="395"/>
      <c r="L17" s="395"/>
      <c r="M17" s="395"/>
      <c r="N17" s="395"/>
      <c r="O17" s="395"/>
      <c r="P17" s="395"/>
      <c r="Q17" s="395"/>
    </row>
    <row r="18" spans="1:29" x14ac:dyDescent="0.2">
      <c r="A18" s="395" t="s">
        <v>1018</v>
      </c>
      <c r="B18" s="405">
        <f>AVERAGE(B12:B15)-B10</f>
        <v>18.461869918699186</v>
      </c>
      <c r="C18" s="406">
        <f>C10</f>
        <v>17.940000000000001</v>
      </c>
      <c r="D18" s="395"/>
      <c r="E18" s="395"/>
      <c r="F18" s="395"/>
      <c r="G18" s="225" t="s">
        <v>1050</v>
      </c>
      <c r="H18" s="231">
        <f>(H14*H5+H15*H4+H17*H5)/H5</f>
        <v>14.75</v>
      </c>
      <c r="I18" s="173" t="s">
        <v>1039</v>
      </c>
      <c r="J18" s="415"/>
      <c r="K18" s="395"/>
      <c r="L18" s="395"/>
      <c r="M18" s="395"/>
      <c r="N18" s="395"/>
      <c r="O18" s="395"/>
      <c r="P18" s="395"/>
      <c r="Q18" s="395"/>
      <c r="R18" s="395"/>
      <c r="S18" s="395"/>
      <c r="T18" s="395"/>
      <c r="U18" s="395"/>
      <c r="V18" s="395"/>
      <c r="W18" s="395"/>
      <c r="X18" s="395"/>
      <c r="Y18" s="395"/>
      <c r="Z18" s="395"/>
      <c r="AA18" s="395"/>
      <c r="AB18" s="395"/>
      <c r="AC18" s="395"/>
    </row>
    <row r="19" spans="1:29" x14ac:dyDescent="0.2">
      <c r="A19" s="395"/>
      <c r="B19" s="395"/>
      <c r="C19" s="395"/>
      <c r="D19" s="395"/>
      <c r="E19" s="395"/>
      <c r="F19" s="395"/>
      <c r="G19" s="225" t="s">
        <v>1051</v>
      </c>
      <c r="H19" s="231">
        <f>(H17*H5+H15*H4)/H5+H16</f>
        <v>5.05</v>
      </c>
      <c r="I19" s="173" t="s">
        <v>1039</v>
      </c>
      <c r="J19" s="415"/>
      <c r="K19" s="395"/>
      <c r="L19" s="395"/>
      <c r="M19" s="395"/>
      <c r="N19" s="395"/>
      <c r="O19" s="395"/>
      <c r="P19" s="395"/>
      <c r="Q19" s="395"/>
      <c r="R19" s="395"/>
      <c r="S19" s="395"/>
      <c r="T19" s="395"/>
      <c r="U19" s="395"/>
      <c r="V19" s="395"/>
      <c r="W19" s="395"/>
      <c r="X19" s="395"/>
      <c r="Y19" s="395"/>
      <c r="Z19" s="395"/>
      <c r="AA19" s="395"/>
      <c r="AB19" s="395"/>
      <c r="AC19" s="395"/>
    </row>
    <row r="20" spans="1:29" x14ac:dyDescent="0.2">
      <c r="A20" s="466" t="s">
        <v>1052</v>
      </c>
      <c r="B20" s="395" t="s">
        <v>1028</v>
      </c>
      <c r="C20" s="395"/>
      <c r="D20" s="395"/>
      <c r="E20" s="395"/>
      <c r="F20" s="395"/>
      <c r="G20" s="415"/>
      <c r="H20" s="414"/>
      <c r="I20" s="395"/>
      <c r="J20" s="415"/>
      <c r="K20" s="395"/>
      <c r="L20" s="395"/>
      <c r="M20" s="395"/>
      <c r="N20" s="395"/>
      <c r="O20" s="395"/>
      <c r="P20" s="395"/>
      <c r="Q20" s="395"/>
      <c r="R20" s="395"/>
      <c r="S20" s="395"/>
      <c r="T20" s="395"/>
      <c r="U20" s="395"/>
      <c r="V20" s="395"/>
      <c r="W20" s="395"/>
      <c r="X20" s="395"/>
      <c r="Y20" s="395"/>
      <c r="Z20" s="395"/>
      <c r="AA20" s="395"/>
      <c r="AB20" s="395"/>
      <c r="AC20" s="395"/>
    </row>
    <row r="21" spans="1:29" x14ac:dyDescent="0.2">
      <c r="A21" s="395" t="s">
        <v>1013</v>
      </c>
      <c r="B21" s="405">
        <f>B22</f>
        <v>39.207908353658539</v>
      </c>
      <c r="C21" s="395"/>
      <c r="D21" s="395"/>
      <c r="E21" s="395"/>
      <c r="F21" s="395"/>
      <c r="G21" s="225" t="s">
        <v>1053</v>
      </c>
      <c r="H21" s="415" t="s">
        <v>1015</v>
      </c>
      <c r="I21" s="415" t="s">
        <v>1016</v>
      </c>
      <c r="J21" s="415" t="s">
        <v>1017</v>
      </c>
      <c r="K21" s="395"/>
      <c r="L21" s="395"/>
      <c r="M21" s="395"/>
      <c r="N21" s="395"/>
      <c r="O21" s="395"/>
      <c r="P21" s="395"/>
      <c r="Q21" s="395"/>
      <c r="R21" s="395"/>
      <c r="S21" s="395"/>
      <c r="T21" s="395"/>
      <c r="U21" s="395"/>
      <c r="V21" s="395"/>
      <c r="W21" s="395"/>
      <c r="X21" s="395"/>
      <c r="Y21" s="395"/>
      <c r="Z21" s="395"/>
      <c r="AA21" s="395"/>
      <c r="AB21" s="395"/>
      <c r="AC21" s="395"/>
    </row>
    <row r="22" spans="1:29" ht="51" x14ac:dyDescent="0.2">
      <c r="A22" s="395" t="s">
        <v>1018</v>
      </c>
      <c r="B22" s="405">
        <f>SUM(AC32:AC34)</f>
        <v>39.207908353658539</v>
      </c>
      <c r="C22" s="395"/>
      <c r="D22" s="395"/>
      <c r="E22" s="395"/>
      <c r="F22" s="128"/>
      <c r="G22" s="415" t="s">
        <v>1054</v>
      </c>
      <c r="H22" s="467">
        <v>1000</v>
      </c>
      <c r="I22" s="415" t="s">
        <v>1055</v>
      </c>
      <c r="J22" s="415" t="s">
        <v>1056</v>
      </c>
      <c r="K22" s="395"/>
      <c r="L22" s="395"/>
      <c r="M22" s="395"/>
      <c r="N22" s="395"/>
      <c r="O22" s="395"/>
      <c r="P22" s="395"/>
      <c r="Q22" s="395"/>
      <c r="R22" s="395"/>
      <c r="S22" s="395"/>
      <c r="T22" s="395"/>
      <c r="U22" s="395"/>
      <c r="V22" s="395"/>
      <c r="W22" s="395"/>
      <c r="X22" s="395"/>
      <c r="Y22" s="395"/>
      <c r="Z22" s="395"/>
      <c r="AA22" s="395"/>
      <c r="AB22" s="395"/>
      <c r="AC22" s="395"/>
    </row>
    <row r="23" spans="1:29" x14ac:dyDescent="0.2">
      <c r="A23" s="395"/>
      <c r="B23" s="395"/>
      <c r="C23" s="395"/>
      <c r="D23" s="395"/>
      <c r="E23" s="395"/>
      <c r="F23" s="404"/>
      <c r="G23" s="415" t="s">
        <v>1057</v>
      </c>
      <c r="H23" s="467">
        <v>4000</v>
      </c>
      <c r="I23" s="415" t="s">
        <v>1058</v>
      </c>
      <c r="J23" s="415"/>
      <c r="K23" s="395"/>
      <c r="L23" s="395"/>
      <c r="M23" s="395"/>
      <c r="N23" s="395"/>
      <c r="O23" s="395"/>
      <c r="P23" s="395"/>
      <c r="Q23" s="395"/>
      <c r="R23" s="395"/>
      <c r="S23" s="395"/>
      <c r="T23" s="395"/>
      <c r="U23" s="395"/>
      <c r="V23" s="395"/>
      <c r="W23" s="395"/>
      <c r="X23" s="395"/>
      <c r="Y23" s="395"/>
      <c r="Z23" s="395"/>
      <c r="AA23" s="395"/>
      <c r="AB23" s="395"/>
      <c r="AC23" s="395"/>
    </row>
    <row r="24" spans="1:29" x14ac:dyDescent="0.2">
      <c r="A24" s="395"/>
      <c r="B24" s="395"/>
      <c r="C24" s="395"/>
      <c r="D24" s="395"/>
      <c r="E24" s="395"/>
      <c r="F24" s="404"/>
      <c r="G24" s="415" t="s">
        <v>1059</v>
      </c>
      <c r="H24" s="467">
        <v>500</v>
      </c>
      <c r="I24" s="415" t="s">
        <v>1058</v>
      </c>
      <c r="J24" s="415"/>
      <c r="K24" s="395"/>
      <c r="L24" s="395"/>
      <c r="M24" s="395"/>
      <c r="N24" s="395"/>
      <c r="O24" s="395"/>
      <c r="P24" s="395"/>
      <c r="Q24" s="395"/>
      <c r="R24" s="395"/>
      <c r="S24" s="395"/>
      <c r="T24" s="395"/>
      <c r="U24" s="395"/>
      <c r="V24" s="395"/>
      <c r="W24" s="395"/>
      <c r="X24" s="395"/>
      <c r="Y24" s="395"/>
      <c r="Z24" s="395"/>
      <c r="AA24" s="395"/>
      <c r="AB24" s="395"/>
      <c r="AC24" s="395"/>
    </row>
    <row r="25" spans="1:29" x14ac:dyDescent="0.2">
      <c r="A25" s="395"/>
      <c r="B25" s="395"/>
      <c r="C25" s="395"/>
      <c r="D25" s="395"/>
      <c r="E25" s="395"/>
      <c r="F25" s="395"/>
      <c r="G25" s="415" t="s">
        <v>1060</v>
      </c>
      <c r="H25" s="467">
        <f>H14</f>
        <v>10</v>
      </c>
      <c r="I25" s="415" t="s">
        <v>1031</v>
      </c>
      <c r="J25" s="415" t="str">
        <f>J14</f>
        <v>TWG page 63</v>
      </c>
      <c r="K25" s="395"/>
      <c r="L25" s="395"/>
      <c r="M25" s="395"/>
      <c r="N25" s="395"/>
      <c r="O25" s="395"/>
      <c r="P25" s="395"/>
      <c r="Q25" s="395"/>
      <c r="R25" s="395"/>
      <c r="S25" s="395"/>
      <c r="T25" s="395"/>
      <c r="U25" s="395"/>
      <c r="V25" s="395"/>
      <c r="W25" s="395"/>
      <c r="X25" s="395"/>
      <c r="Y25" s="395"/>
      <c r="Z25" s="395"/>
      <c r="AA25" s="395"/>
      <c r="AB25" s="395"/>
      <c r="AC25" s="395"/>
    </row>
    <row r="26" spans="1:29" x14ac:dyDescent="0.2">
      <c r="A26" s="395"/>
      <c r="B26" s="395"/>
      <c r="C26" s="395"/>
      <c r="D26" s="395"/>
      <c r="E26" s="395"/>
      <c r="F26" s="395"/>
      <c r="G26" s="415" t="s">
        <v>1061</v>
      </c>
      <c r="H26" s="414">
        <v>7</v>
      </c>
      <c r="I26" s="395" t="s">
        <v>1039</v>
      </c>
      <c r="J26" s="415"/>
      <c r="K26" s="395"/>
      <c r="L26" s="395"/>
      <c r="M26" s="395"/>
      <c r="N26" s="395"/>
      <c r="O26" s="395"/>
      <c r="P26" s="395"/>
      <c r="Q26" s="395"/>
      <c r="R26" s="395"/>
      <c r="S26" s="395"/>
      <c r="T26" s="395"/>
      <c r="U26" s="395"/>
      <c r="V26" s="395"/>
      <c r="W26" s="395"/>
      <c r="X26" s="395"/>
      <c r="Y26" s="395"/>
      <c r="Z26" s="395"/>
      <c r="AA26" s="395"/>
      <c r="AB26" s="395"/>
      <c r="AC26" s="395"/>
    </row>
    <row r="27" spans="1:29" x14ac:dyDescent="0.2">
      <c r="A27" s="395"/>
      <c r="B27" s="395"/>
      <c r="C27" s="395"/>
      <c r="D27" s="395"/>
      <c r="E27" s="395"/>
      <c r="F27" s="395"/>
      <c r="G27" s="225" t="s">
        <v>1062</v>
      </c>
      <c r="H27" s="232">
        <f>H6*H22/12000/H5+(H23+H24)*H4/H5+H25+H26</f>
        <v>29.25</v>
      </c>
      <c r="I27" s="173" t="s">
        <v>1039</v>
      </c>
      <c r="J27" s="415"/>
      <c r="K27" s="395"/>
      <c r="L27" s="395"/>
      <c r="M27" s="395"/>
      <c r="N27" s="395"/>
      <c r="O27" s="395"/>
      <c r="P27" s="395"/>
      <c r="Q27" s="395"/>
      <c r="R27" s="395"/>
      <c r="S27" s="395"/>
      <c r="T27" s="395"/>
      <c r="U27" s="395"/>
      <c r="V27" s="395"/>
      <c r="W27" s="395"/>
      <c r="X27" s="395"/>
      <c r="Y27" s="395"/>
      <c r="Z27" s="395"/>
      <c r="AA27" s="395"/>
      <c r="AB27" s="395"/>
      <c r="AC27" s="395"/>
    </row>
    <row r="28" spans="1:29" ht="9" customHeight="1" x14ac:dyDescent="0.2">
      <c r="A28" s="395"/>
      <c r="B28" s="395"/>
      <c r="C28" s="395"/>
      <c r="D28" s="395"/>
      <c r="E28" s="395"/>
      <c r="F28" s="395"/>
      <c r="G28" s="225"/>
      <c r="H28" s="233"/>
      <c r="I28" s="173"/>
      <c r="J28" s="415"/>
      <c r="K28" s="395"/>
      <c r="L28" s="395"/>
      <c r="M28" s="395"/>
      <c r="N28" s="395"/>
      <c r="O28" s="395"/>
      <c r="P28" s="395"/>
      <c r="Q28" s="395"/>
      <c r="R28" s="395"/>
      <c r="S28" s="395"/>
      <c r="T28" s="395"/>
      <c r="U28" s="395"/>
      <c r="V28" s="395"/>
      <c r="W28" s="395"/>
      <c r="X28" s="395"/>
      <c r="Y28" s="395"/>
      <c r="Z28" s="395"/>
      <c r="AA28" s="395"/>
      <c r="AB28" s="395"/>
      <c r="AC28" s="395"/>
    </row>
    <row r="29" spans="1:29" x14ac:dyDescent="0.2">
      <c r="A29" s="395"/>
      <c r="B29" s="395"/>
      <c r="C29" s="395"/>
      <c r="D29" s="395"/>
      <c r="E29" s="395"/>
      <c r="F29" s="395"/>
      <c r="G29" s="225" t="s">
        <v>1063</v>
      </c>
      <c r="H29" s="415" t="s">
        <v>1015</v>
      </c>
      <c r="I29" s="415" t="s">
        <v>1016</v>
      </c>
      <c r="J29" s="415" t="s">
        <v>1017</v>
      </c>
      <c r="K29" s="395"/>
      <c r="L29" s="395"/>
      <c r="M29" s="395"/>
      <c r="N29" s="395"/>
      <c r="O29" s="395"/>
      <c r="P29" s="395"/>
      <c r="Q29" s="395"/>
      <c r="R29" s="395"/>
      <c r="S29" s="395"/>
      <c r="T29" s="395"/>
      <c r="U29" s="395"/>
      <c r="V29" s="395"/>
      <c r="W29" s="395"/>
      <c r="X29" s="395"/>
      <c r="Y29" s="395"/>
      <c r="Z29" s="395"/>
      <c r="AA29" s="395"/>
      <c r="AB29" s="395"/>
      <c r="AC29" s="395"/>
    </row>
    <row r="30" spans="1:29" x14ac:dyDescent="0.2">
      <c r="A30" s="395"/>
      <c r="B30" s="395"/>
      <c r="C30" s="395"/>
      <c r="D30" s="395"/>
      <c r="E30" s="395"/>
      <c r="F30" s="395"/>
      <c r="G30" s="415" t="s">
        <v>1061</v>
      </c>
      <c r="H30" s="414">
        <v>7</v>
      </c>
      <c r="I30" s="395" t="s">
        <v>1039</v>
      </c>
      <c r="J30" s="415"/>
      <c r="K30" s="395"/>
      <c r="L30" s="395"/>
      <c r="M30" s="395"/>
      <c r="N30" s="395"/>
      <c r="O30" s="395"/>
      <c r="P30" s="395"/>
      <c r="Q30" s="395" t="s">
        <v>1064</v>
      </c>
      <c r="R30" s="395">
        <v>123000</v>
      </c>
      <c r="S30" s="395"/>
      <c r="T30" s="395"/>
      <c r="U30" s="395"/>
      <c r="V30" s="395"/>
      <c r="W30" s="395"/>
      <c r="X30" s="395"/>
      <c r="Y30" s="395" t="s">
        <v>1065</v>
      </c>
      <c r="Z30" s="395"/>
      <c r="AA30" s="395"/>
      <c r="AB30" s="395"/>
      <c r="AC30" s="395"/>
    </row>
    <row r="31" spans="1:29" ht="25.5" x14ac:dyDescent="0.2">
      <c r="A31" s="395"/>
      <c r="B31" s="395"/>
      <c r="C31" s="395"/>
      <c r="D31" s="395"/>
      <c r="E31" s="395"/>
      <c r="F31" s="395"/>
      <c r="G31" s="415" t="s">
        <v>1066</v>
      </c>
      <c r="H31" s="414">
        <v>1500</v>
      </c>
      <c r="I31" s="395" t="s">
        <v>1058</v>
      </c>
      <c r="J31" s="415" t="s">
        <v>1067</v>
      </c>
      <c r="K31" s="395"/>
      <c r="L31" s="395"/>
      <c r="M31" s="395"/>
      <c r="N31" s="395"/>
      <c r="O31" s="395"/>
      <c r="P31" s="395"/>
      <c r="Q31" s="395"/>
      <c r="R31" s="395" t="s">
        <v>1068</v>
      </c>
      <c r="S31" s="395" t="s">
        <v>1069</v>
      </c>
      <c r="T31" s="395" t="s">
        <v>592</v>
      </c>
      <c r="U31" s="395" t="s">
        <v>1070</v>
      </c>
      <c r="V31" s="395"/>
      <c r="W31" s="395"/>
      <c r="X31" s="395"/>
      <c r="Y31" s="395" t="s">
        <v>1031</v>
      </c>
      <c r="Z31" s="395" t="s">
        <v>1068</v>
      </c>
      <c r="AA31" s="395" t="s">
        <v>1069</v>
      </c>
      <c r="AB31" s="395" t="s">
        <v>1071</v>
      </c>
      <c r="AC31" s="395" t="s">
        <v>1072</v>
      </c>
    </row>
    <row r="32" spans="1:29" x14ac:dyDescent="0.2">
      <c r="A32" s="395"/>
      <c r="B32" s="395"/>
      <c r="C32" s="395"/>
      <c r="D32" s="395"/>
      <c r="E32" s="395"/>
      <c r="F32" s="395"/>
      <c r="G32" s="415" t="s">
        <v>1073</v>
      </c>
      <c r="H32" s="414">
        <v>500</v>
      </c>
      <c r="I32" s="395" t="s">
        <v>1058</v>
      </c>
      <c r="J32" s="415" t="s">
        <v>1074</v>
      </c>
      <c r="K32" s="395"/>
      <c r="L32" s="395"/>
      <c r="M32" s="395"/>
      <c r="N32" s="395"/>
      <c r="O32" s="395"/>
      <c r="P32" s="395"/>
      <c r="Q32" s="395" t="s">
        <v>1075</v>
      </c>
      <c r="R32" s="414">
        <v>4494000</v>
      </c>
      <c r="S32" s="414">
        <v>652000</v>
      </c>
      <c r="T32" s="414">
        <f>R32-S32</f>
        <v>3842000</v>
      </c>
      <c r="U32" s="405">
        <f>T32/$R$30</f>
        <v>31.235772357723576</v>
      </c>
      <c r="V32" s="395"/>
      <c r="W32" s="395"/>
      <c r="X32" s="395"/>
      <c r="Y32" s="395" t="s">
        <v>1076</v>
      </c>
      <c r="Z32" s="405">
        <f>R32/$R$30</f>
        <v>36.536585365853661</v>
      </c>
      <c r="AA32" s="414">
        <f>SUM($X$47:$X$49,$X$64:$X$74,X56,X52)*(1+SUM($T$76:$T$82))/$R$30</f>
        <v>19.336136585365853</v>
      </c>
      <c r="AB32" s="405">
        <f>SUM(X64:X74)*(1+SUM(T76:T82))/$R$30</f>
        <v>4.5416260162601629</v>
      </c>
      <c r="AC32" s="414">
        <f>Z32-AA32</f>
        <v>17.200448780487807</v>
      </c>
    </row>
    <row r="33" spans="1:29" x14ac:dyDescent="0.2">
      <c r="A33" s="395"/>
      <c r="B33" s="395"/>
      <c r="C33" s="395"/>
      <c r="D33" s="395"/>
      <c r="E33" s="395"/>
      <c r="F33" s="395"/>
      <c r="G33" s="225" t="s">
        <v>784</v>
      </c>
      <c r="H33" s="231">
        <f>(H32*H4+H31*H4)/H5+H30</f>
        <v>12</v>
      </c>
      <c r="I33" s="173" t="s">
        <v>1039</v>
      </c>
      <c r="J33" s="415"/>
      <c r="K33" s="395"/>
      <c r="L33" s="395"/>
      <c r="M33" s="395"/>
      <c r="N33" s="395"/>
      <c r="O33" s="395"/>
      <c r="P33" s="395"/>
      <c r="Q33" s="395" t="s">
        <v>1077</v>
      </c>
      <c r="R33" s="414">
        <v>1447000</v>
      </c>
      <c r="S33" s="414">
        <v>324000</v>
      </c>
      <c r="T33" s="414">
        <f t="shared" ref="T33:T37" si="0">R33-S33</f>
        <v>1123000</v>
      </c>
      <c r="U33" s="405">
        <f t="shared" ref="U33:U37" si="1">T33/$R$30</f>
        <v>9.1300813008130088</v>
      </c>
      <c r="V33" s="395"/>
      <c r="W33" s="395"/>
      <c r="X33" s="395"/>
      <c r="Y33" s="395" t="s">
        <v>1077</v>
      </c>
      <c r="Z33" s="405">
        <f>R33/R30</f>
        <v>11.764227642276422</v>
      </c>
      <c r="AA33" s="405">
        <f>S33/R30</f>
        <v>2.6341463414634148</v>
      </c>
      <c r="AB33" s="395"/>
      <c r="AC33" s="414">
        <f>Z33-AA33</f>
        <v>9.1300813008130071</v>
      </c>
    </row>
    <row r="34" spans="1:29" ht="14.45" customHeight="1" x14ac:dyDescent="0.2">
      <c r="G34" s="415"/>
      <c r="H34" s="405"/>
      <c r="I34" s="395"/>
      <c r="J34" s="415"/>
      <c r="K34" s="395"/>
      <c r="L34" s="395"/>
      <c r="M34" s="395"/>
      <c r="N34" s="395"/>
      <c r="O34" s="395"/>
      <c r="P34" s="395"/>
      <c r="Q34" s="395" t="s">
        <v>1078</v>
      </c>
      <c r="R34" s="414">
        <v>2528000</v>
      </c>
      <c r="S34" s="414">
        <v>1150000</v>
      </c>
      <c r="T34" s="414">
        <f t="shared" si="0"/>
        <v>1378000</v>
      </c>
      <c r="U34" s="405">
        <f t="shared" si="1"/>
        <v>11.203252032520325</v>
      </c>
      <c r="V34" s="395"/>
      <c r="W34" s="395"/>
      <c r="X34" s="395"/>
      <c r="Y34" s="395" t="s">
        <v>1079</v>
      </c>
      <c r="Z34" s="414">
        <f>SUM(X88:X118)/R30</f>
        <v>20.5570081300813</v>
      </c>
      <c r="AA34" s="414">
        <f>SUM(X88:X90,X100:X110,X95)*(1+SUM(T112:T118))/R30</f>
        <v>7.6796298577235769</v>
      </c>
      <c r="AB34" s="405">
        <f>SUM(X100:X109)*(1+SUM(T112:T118))/R30</f>
        <v>4.3664278455284551</v>
      </c>
      <c r="AC34" s="414">
        <f>Z34-AA34</f>
        <v>12.877378272357724</v>
      </c>
    </row>
    <row r="35" spans="1:29" x14ac:dyDescent="0.2">
      <c r="G35" s="225" t="s">
        <v>1080</v>
      </c>
      <c r="H35" s="415" t="s">
        <v>1015</v>
      </c>
      <c r="I35" s="415" t="s">
        <v>1016</v>
      </c>
      <c r="J35" s="415" t="s">
        <v>1017</v>
      </c>
      <c r="K35" s="395"/>
      <c r="L35" s="395"/>
      <c r="M35" s="395"/>
      <c r="N35" s="395"/>
      <c r="O35" s="395"/>
      <c r="P35" s="395"/>
      <c r="Q35" s="395" t="s">
        <v>1080</v>
      </c>
      <c r="R35" s="414">
        <v>3071000</v>
      </c>
      <c r="S35" s="414">
        <v>1261000</v>
      </c>
      <c r="T35" s="414">
        <f t="shared" si="0"/>
        <v>1810000</v>
      </c>
      <c r="U35" s="405">
        <f t="shared" si="1"/>
        <v>14.715447154471544</v>
      </c>
      <c r="V35" s="395"/>
      <c r="W35" s="395"/>
      <c r="X35" s="395"/>
      <c r="Y35" s="395" t="s">
        <v>1080</v>
      </c>
      <c r="Z35" s="405">
        <f>R35/R30</f>
        <v>24.967479674796749</v>
      </c>
      <c r="AA35" s="405">
        <f>S35/$R$30</f>
        <v>10.252032520325203</v>
      </c>
      <c r="AB35" s="395"/>
      <c r="AC35" s="405">
        <f>T35/$R$30</f>
        <v>14.715447154471544</v>
      </c>
    </row>
    <row r="36" spans="1:29" ht="51" x14ac:dyDescent="0.2">
      <c r="G36" s="225" t="s">
        <v>1081</v>
      </c>
      <c r="H36" s="231">
        <f>3071000/123000</f>
        <v>24.967479674796749</v>
      </c>
      <c r="I36" s="173" t="s">
        <v>1039</v>
      </c>
      <c r="J36" s="415" t="s">
        <v>1082</v>
      </c>
      <c r="K36" s="395"/>
      <c r="L36" s="395"/>
      <c r="M36" s="395"/>
      <c r="N36" s="395"/>
      <c r="O36" s="395"/>
      <c r="P36" s="395"/>
      <c r="Q36" s="395" t="s">
        <v>1083</v>
      </c>
      <c r="R36" s="414">
        <v>250000</v>
      </c>
      <c r="S36" s="414">
        <v>250000</v>
      </c>
      <c r="T36" s="414">
        <f t="shared" si="0"/>
        <v>0</v>
      </c>
      <c r="U36" s="405">
        <f t="shared" si="1"/>
        <v>0</v>
      </c>
      <c r="V36" s="395"/>
      <c r="W36" s="395"/>
      <c r="X36" s="395"/>
      <c r="Y36" s="395"/>
      <c r="Z36" s="395"/>
      <c r="AA36" s="395"/>
      <c r="AB36" s="395"/>
      <c r="AC36" s="395"/>
    </row>
    <row r="37" spans="1:29" x14ac:dyDescent="0.2">
      <c r="G37" s="415"/>
      <c r="H37" s="395"/>
      <c r="I37" s="395"/>
      <c r="J37" s="415"/>
      <c r="K37" s="395"/>
      <c r="L37" s="395"/>
      <c r="M37" s="395"/>
      <c r="N37" s="395"/>
      <c r="O37" s="395"/>
      <c r="P37" s="395"/>
      <c r="Q37" s="395" t="s">
        <v>784</v>
      </c>
      <c r="R37" s="414">
        <f>SUM(R32:R36)</f>
        <v>11790000</v>
      </c>
      <c r="S37" s="414">
        <f>SUM(S32:S36)</f>
        <v>3637000</v>
      </c>
      <c r="T37" s="414">
        <f t="shared" si="0"/>
        <v>8153000</v>
      </c>
      <c r="U37" s="405">
        <f t="shared" si="1"/>
        <v>66.284552845528452</v>
      </c>
      <c r="V37" s="395"/>
      <c r="W37" s="395"/>
      <c r="X37" s="395"/>
      <c r="Y37" s="395"/>
      <c r="Z37" s="395"/>
      <c r="AA37" s="395"/>
      <c r="AB37" s="395"/>
      <c r="AC37" s="395"/>
    </row>
    <row r="38" spans="1:29" x14ac:dyDescent="0.2">
      <c r="G38" s="395"/>
      <c r="H38" s="395"/>
      <c r="I38" s="395"/>
      <c r="J38" s="415"/>
      <c r="K38" s="395"/>
      <c r="L38" s="395"/>
      <c r="M38" s="395"/>
      <c r="N38" s="395"/>
      <c r="O38" s="395"/>
      <c r="P38" s="395"/>
      <c r="Q38" s="395" t="s">
        <v>1084</v>
      </c>
      <c r="R38" s="395"/>
      <c r="S38" s="395"/>
      <c r="T38" s="395"/>
      <c r="U38" s="405">
        <f>U32+U33+U34</f>
        <v>51.569105691056912</v>
      </c>
      <c r="V38" s="395"/>
      <c r="W38" s="395"/>
      <c r="X38" s="395"/>
      <c r="Y38" s="395"/>
      <c r="Z38" s="395"/>
      <c r="AA38" s="395"/>
      <c r="AB38" s="395"/>
      <c r="AC38" s="395"/>
    </row>
    <row r="39" spans="1:29" x14ac:dyDescent="0.2">
      <c r="G39" s="395"/>
      <c r="H39" s="395"/>
      <c r="I39" s="395"/>
      <c r="J39" s="415" t="s">
        <v>1085</v>
      </c>
      <c r="K39" s="395"/>
      <c r="L39" s="395"/>
      <c r="M39" s="395"/>
      <c r="N39" s="395"/>
      <c r="O39" s="395"/>
      <c r="P39" s="395"/>
      <c r="Q39" s="395"/>
      <c r="R39" s="395"/>
      <c r="S39" s="395"/>
      <c r="T39" s="395"/>
      <c r="U39" s="395"/>
      <c r="V39" s="395"/>
      <c r="W39" s="395"/>
      <c r="X39" s="395"/>
      <c r="Y39" s="395"/>
      <c r="Z39" s="395"/>
      <c r="AA39" s="395"/>
      <c r="AB39" s="395"/>
      <c r="AC39" s="395"/>
    </row>
    <row r="40" spans="1:29" x14ac:dyDescent="0.2">
      <c r="G40" s="395" t="s">
        <v>1086</v>
      </c>
      <c r="H40" s="395" t="s">
        <v>1087</v>
      </c>
      <c r="I40" s="395"/>
      <c r="J40" s="415"/>
      <c r="K40" s="395"/>
      <c r="L40" s="395"/>
      <c r="M40" s="395"/>
      <c r="N40" s="395"/>
      <c r="O40" s="395"/>
      <c r="P40" s="395"/>
      <c r="Q40" s="395"/>
      <c r="R40" s="395"/>
      <c r="S40" s="395"/>
      <c r="T40" s="395"/>
      <c r="U40" s="395"/>
      <c r="V40" s="395"/>
      <c r="W40" s="395"/>
      <c r="X40" s="395"/>
      <c r="Y40" s="395"/>
      <c r="Z40" s="395"/>
      <c r="AA40" s="395"/>
      <c r="AB40" s="395"/>
      <c r="AC40" s="395"/>
    </row>
    <row r="41" spans="1:29" x14ac:dyDescent="0.2">
      <c r="G41" s="395" t="s">
        <v>1088</v>
      </c>
      <c r="H41" s="414">
        <v>800</v>
      </c>
      <c r="I41" s="395" t="s">
        <v>1087</v>
      </c>
      <c r="J41" s="415"/>
      <c r="K41" s="395"/>
      <c r="L41" s="395"/>
      <c r="M41" s="395"/>
      <c r="N41" s="395"/>
      <c r="O41" s="395"/>
      <c r="P41" s="395"/>
      <c r="Q41" s="395"/>
      <c r="R41" s="395"/>
      <c r="S41" s="395"/>
      <c r="T41" s="395"/>
      <c r="U41" s="395"/>
      <c r="V41" s="395"/>
      <c r="W41" s="395"/>
      <c r="X41" s="395"/>
      <c r="Y41" s="395"/>
      <c r="Z41" s="395"/>
      <c r="AA41" s="395"/>
      <c r="AB41" s="395"/>
      <c r="AC41" s="395"/>
    </row>
    <row r="42" spans="1:29" ht="30" x14ac:dyDescent="0.25">
      <c r="G42" s="395" t="s">
        <v>1089</v>
      </c>
      <c r="H42" s="395">
        <f>(1300+3000)/2</f>
        <v>2150</v>
      </c>
      <c r="I42" s="395" t="s">
        <v>1087</v>
      </c>
      <c r="J42" s="234" t="s">
        <v>1090</v>
      </c>
      <c r="K42" s="395"/>
      <c r="L42" s="395"/>
      <c r="M42" s="395"/>
      <c r="N42" s="395"/>
      <c r="O42" s="395"/>
      <c r="P42" s="395"/>
      <c r="Q42" s="395" t="s">
        <v>1091</v>
      </c>
      <c r="R42" s="395"/>
      <c r="S42" s="395"/>
      <c r="T42" s="395"/>
      <c r="U42" s="395"/>
      <c r="V42" s="395"/>
      <c r="W42" s="395"/>
      <c r="X42" s="395"/>
      <c r="Y42" s="395"/>
      <c r="Z42" s="395"/>
      <c r="AA42" s="395"/>
      <c r="AB42" s="395"/>
      <c r="AC42" s="395"/>
    </row>
    <row r="43" spans="1:29" x14ac:dyDescent="0.2">
      <c r="G43" s="395" t="s">
        <v>1092</v>
      </c>
      <c r="H43" s="395">
        <v>650</v>
      </c>
      <c r="I43" s="395" t="s">
        <v>1058</v>
      </c>
      <c r="J43" s="415"/>
      <c r="K43" s="395"/>
      <c r="L43" s="395"/>
      <c r="M43" s="395"/>
      <c r="N43" s="395"/>
      <c r="O43" s="395"/>
      <c r="P43" s="395"/>
      <c r="Q43" s="395" t="s">
        <v>1093</v>
      </c>
      <c r="R43" s="395" t="s">
        <v>1094</v>
      </c>
      <c r="S43" s="395"/>
      <c r="T43" s="395" t="s">
        <v>1095</v>
      </c>
      <c r="U43" s="395" t="s">
        <v>1096</v>
      </c>
      <c r="V43" s="395" t="s">
        <v>1097</v>
      </c>
      <c r="W43" s="395"/>
      <c r="X43" s="395" t="s">
        <v>1098</v>
      </c>
      <c r="Y43" s="395"/>
      <c r="Z43" s="395"/>
      <c r="AA43" s="395"/>
      <c r="AB43" s="395"/>
      <c r="AC43" s="395"/>
    </row>
    <row r="44" spans="1:29" x14ac:dyDescent="0.2">
      <c r="G44" s="395" t="s">
        <v>1099</v>
      </c>
      <c r="H44" s="405">
        <f>(H41+H42+H43*H4)/H5</f>
        <v>4.5750000000000002</v>
      </c>
      <c r="I44" s="395" t="s">
        <v>1100</v>
      </c>
      <c r="J44" s="415"/>
      <c r="K44" s="395"/>
      <c r="L44" s="395"/>
      <c r="M44" s="395"/>
      <c r="N44" s="395"/>
      <c r="O44" s="395"/>
      <c r="P44" s="395"/>
      <c r="Q44" s="395" t="s">
        <v>1101</v>
      </c>
      <c r="R44" s="395"/>
      <c r="S44" s="395"/>
      <c r="T44" s="395"/>
      <c r="U44" s="395"/>
      <c r="V44" s="395"/>
      <c r="W44" s="395"/>
      <c r="X44" s="395"/>
      <c r="Y44" s="395"/>
      <c r="Z44" s="395"/>
      <c r="AA44" s="395"/>
      <c r="AB44" s="395"/>
      <c r="AC44" s="395"/>
    </row>
    <row r="45" spans="1:29" ht="25.5" x14ac:dyDescent="0.2">
      <c r="G45" s="395" t="s">
        <v>1102</v>
      </c>
      <c r="H45" s="405">
        <v>6.93</v>
      </c>
      <c r="I45" s="395" t="s">
        <v>1100</v>
      </c>
      <c r="J45" s="415" t="s">
        <v>1103</v>
      </c>
      <c r="K45" s="395"/>
      <c r="L45" s="395"/>
      <c r="M45" s="395"/>
      <c r="N45" s="395"/>
      <c r="O45" s="395"/>
      <c r="P45" s="395"/>
      <c r="Q45" s="395"/>
      <c r="R45" s="395"/>
      <c r="S45" s="395"/>
      <c r="T45" s="395"/>
      <c r="U45" s="395"/>
      <c r="V45" s="395"/>
      <c r="W45" s="395"/>
      <c r="X45" s="395" t="s">
        <v>1104</v>
      </c>
      <c r="Y45" s="395"/>
      <c r="Z45" s="395"/>
      <c r="AA45" s="395"/>
      <c r="AB45" s="395"/>
      <c r="AC45" s="395"/>
    </row>
    <row r="46" spans="1:29" ht="25.5" x14ac:dyDescent="0.2">
      <c r="G46" s="395"/>
      <c r="H46" s="405">
        <v>8.83</v>
      </c>
      <c r="I46" s="395" t="s">
        <v>1100</v>
      </c>
      <c r="J46" s="415" t="s">
        <v>1105</v>
      </c>
      <c r="K46" s="395"/>
      <c r="L46" s="395"/>
      <c r="M46" s="395"/>
      <c r="N46" s="395"/>
      <c r="O46" s="395"/>
      <c r="P46" s="395"/>
      <c r="Q46" s="468"/>
      <c r="R46" s="400" t="s">
        <v>1106</v>
      </c>
      <c r="S46" s="400"/>
      <c r="T46" s="400" t="s">
        <v>1107</v>
      </c>
      <c r="U46" s="400"/>
      <c r="V46" s="400" t="s">
        <v>1108</v>
      </c>
      <c r="W46" s="400"/>
      <c r="X46" s="401" t="s">
        <v>784</v>
      </c>
      <c r="Y46" s="395"/>
      <c r="Z46" s="395"/>
      <c r="AA46" s="395"/>
      <c r="AB46" s="395"/>
      <c r="AC46" s="395"/>
    </row>
    <row r="47" spans="1:29" ht="25.5" x14ac:dyDescent="0.2">
      <c r="G47" s="395"/>
      <c r="H47" s="395"/>
      <c r="I47" s="395"/>
      <c r="J47" s="415"/>
      <c r="K47" s="395"/>
      <c r="L47" s="395"/>
      <c r="M47" s="395"/>
      <c r="N47" s="395"/>
      <c r="O47" s="395"/>
      <c r="P47" s="395"/>
      <c r="Q47" s="469"/>
      <c r="R47" s="409" t="s">
        <v>1109</v>
      </c>
      <c r="S47" s="408"/>
      <c r="T47" s="408">
        <v>855</v>
      </c>
      <c r="U47" s="408" t="s">
        <v>1110</v>
      </c>
      <c r="V47" s="408">
        <v>200</v>
      </c>
      <c r="W47" s="408"/>
      <c r="X47" s="419">
        <v>171000</v>
      </c>
      <c r="Y47" s="395"/>
      <c r="Z47" s="395"/>
      <c r="AA47" s="395"/>
      <c r="AB47" s="395"/>
      <c r="AC47" s="395"/>
    </row>
    <row r="48" spans="1:29" ht="25.5" x14ac:dyDescent="0.2">
      <c r="G48" s="395"/>
      <c r="H48" s="395"/>
      <c r="I48" s="395"/>
      <c r="J48" s="415"/>
      <c r="K48" s="395"/>
      <c r="L48" s="395"/>
      <c r="M48" s="395"/>
      <c r="N48" s="395"/>
      <c r="O48" s="395"/>
      <c r="P48" s="395"/>
      <c r="Q48" s="469"/>
      <c r="R48" s="409" t="s">
        <v>1111</v>
      </c>
      <c r="S48" s="408"/>
      <c r="T48" s="408">
        <v>855</v>
      </c>
      <c r="U48" s="408" t="s">
        <v>1110</v>
      </c>
      <c r="V48" s="408">
        <v>400</v>
      </c>
      <c r="W48" s="408"/>
      <c r="X48" s="419">
        <v>342000</v>
      </c>
      <c r="Y48" s="395"/>
      <c r="Z48" s="395"/>
      <c r="AA48" s="395"/>
      <c r="AB48" s="395"/>
      <c r="AC48" s="395"/>
    </row>
    <row r="49" spans="7:29" x14ac:dyDescent="0.2">
      <c r="G49" s="395"/>
      <c r="H49" s="395"/>
      <c r="I49" s="395"/>
      <c r="J49" s="415"/>
      <c r="K49" s="395"/>
      <c r="L49" s="395"/>
      <c r="M49" s="395"/>
      <c r="N49" s="395"/>
      <c r="O49" s="395"/>
      <c r="P49" s="395"/>
      <c r="Q49" s="469"/>
      <c r="R49" s="409" t="s">
        <v>1112</v>
      </c>
      <c r="S49" s="408"/>
      <c r="T49" s="408">
        <v>855</v>
      </c>
      <c r="U49" s="408" t="s">
        <v>1110</v>
      </c>
      <c r="V49" s="408">
        <v>200</v>
      </c>
      <c r="W49" s="408"/>
      <c r="X49" s="419">
        <v>171000</v>
      </c>
      <c r="Y49" s="395"/>
      <c r="Z49" s="395"/>
      <c r="AA49" s="395"/>
      <c r="AB49" s="395"/>
      <c r="AC49" s="395"/>
    </row>
    <row r="50" spans="7:29" ht="38.25" x14ac:dyDescent="0.2">
      <c r="Q50" s="469"/>
      <c r="R50" s="409" t="s">
        <v>1113</v>
      </c>
      <c r="S50" s="408"/>
      <c r="T50" s="408">
        <v>855</v>
      </c>
      <c r="U50" s="408" t="s">
        <v>1110</v>
      </c>
      <c r="V50" s="408">
        <v>750</v>
      </c>
      <c r="W50" s="408"/>
      <c r="X50" s="419">
        <v>641250</v>
      </c>
    </row>
    <row r="51" spans="7:29" ht="38.25" x14ac:dyDescent="0.2">
      <c r="Q51" s="469"/>
      <c r="R51" s="409" t="s">
        <v>1114</v>
      </c>
      <c r="S51" s="408"/>
      <c r="T51" s="408"/>
      <c r="U51" s="408"/>
      <c r="V51" s="408"/>
      <c r="W51" s="408"/>
      <c r="X51" s="419"/>
    </row>
    <row r="52" spans="7:29" x14ac:dyDescent="0.2">
      <c r="Q52" s="469"/>
      <c r="R52" s="409" t="s">
        <v>1115</v>
      </c>
      <c r="S52" s="408"/>
      <c r="T52" s="408">
        <v>855</v>
      </c>
      <c r="U52" s="408" t="s">
        <v>1110</v>
      </c>
      <c r="V52" s="408">
        <v>300</v>
      </c>
      <c r="W52" s="408"/>
      <c r="X52" s="419">
        <v>256500</v>
      </c>
    </row>
    <row r="53" spans="7:29" x14ac:dyDescent="0.2">
      <c r="Q53" s="469"/>
      <c r="R53" s="409"/>
      <c r="S53" s="408"/>
      <c r="T53" s="408"/>
      <c r="U53" s="408"/>
      <c r="V53" s="408"/>
      <c r="W53" s="408"/>
      <c r="X53" s="419"/>
    </row>
    <row r="54" spans="7:29" ht="25.5" x14ac:dyDescent="0.2">
      <c r="Q54" s="469"/>
      <c r="R54" s="409" t="s">
        <v>1116</v>
      </c>
      <c r="S54" s="408"/>
      <c r="T54" s="408">
        <v>13350</v>
      </c>
      <c r="U54" s="408" t="s">
        <v>461</v>
      </c>
      <c r="V54" s="408">
        <v>78</v>
      </c>
      <c r="W54" s="408"/>
      <c r="X54" s="419">
        <v>1041308</v>
      </c>
    </row>
    <row r="55" spans="7:29" x14ac:dyDescent="0.2">
      <c r="Q55" s="469"/>
      <c r="R55" s="409"/>
      <c r="S55" s="408"/>
      <c r="T55" s="408"/>
      <c r="U55" s="408"/>
      <c r="V55" s="408"/>
      <c r="W55" s="408"/>
      <c r="X55" s="419"/>
    </row>
    <row r="56" spans="7:29" x14ac:dyDescent="0.2">
      <c r="Q56" s="469"/>
      <c r="R56" s="409" t="s">
        <v>1117</v>
      </c>
      <c r="S56" s="408"/>
      <c r="T56" s="408">
        <v>8108</v>
      </c>
      <c r="U56" s="408" t="s">
        <v>461</v>
      </c>
      <c r="V56" s="408">
        <v>65</v>
      </c>
      <c r="W56" s="408"/>
      <c r="X56" s="419">
        <v>527020</v>
      </c>
    </row>
    <row r="57" spans="7:29" ht="38.25" x14ac:dyDescent="0.2">
      <c r="Q57" s="469"/>
      <c r="R57" s="409" t="s">
        <v>1118</v>
      </c>
      <c r="S57" s="408"/>
      <c r="T57" s="408"/>
      <c r="U57" s="408"/>
      <c r="V57" s="408"/>
      <c r="W57" s="408"/>
      <c r="X57" s="419"/>
    </row>
    <row r="58" spans="7:29" x14ac:dyDescent="0.2">
      <c r="Q58" s="469"/>
      <c r="R58" s="409" t="s">
        <v>1119</v>
      </c>
      <c r="S58" s="408"/>
      <c r="T58" s="408"/>
      <c r="U58" s="408"/>
      <c r="V58" s="408"/>
      <c r="W58" s="408"/>
      <c r="X58" s="419"/>
    </row>
    <row r="59" spans="7:29" ht="51" x14ac:dyDescent="0.2">
      <c r="Q59" s="469"/>
      <c r="R59" s="409" t="s">
        <v>1120</v>
      </c>
      <c r="S59" s="408"/>
      <c r="T59" s="408"/>
      <c r="U59" s="408"/>
      <c r="V59" s="408"/>
      <c r="W59" s="408"/>
      <c r="X59" s="419"/>
    </row>
    <row r="60" spans="7:29" ht="25.5" x14ac:dyDescent="0.2">
      <c r="Q60" s="469"/>
      <c r="R60" s="409" t="s">
        <v>1121</v>
      </c>
      <c r="S60" s="408"/>
      <c r="T60" s="408"/>
      <c r="U60" s="408"/>
      <c r="V60" s="408"/>
      <c r="W60" s="408"/>
      <c r="X60" s="419"/>
    </row>
    <row r="61" spans="7:29" x14ac:dyDescent="0.2">
      <c r="Q61" s="469"/>
      <c r="R61" s="409" t="s">
        <v>1122</v>
      </c>
      <c r="S61" s="408"/>
      <c r="T61" s="408"/>
      <c r="U61" s="408"/>
      <c r="V61" s="408"/>
      <c r="W61" s="408"/>
      <c r="X61" s="419"/>
    </row>
    <row r="62" spans="7:29" x14ac:dyDescent="0.2">
      <c r="Q62" s="469"/>
      <c r="R62" s="409"/>
      <c r="S62" s="408"/>
      <c r="T62" s="408"/>
      <c r="U62" s="408"/>
      <c r="V62" s="408"/>
      <c r="W62" s="408"/>
      <c r="X62" s="419"/>
    </row>
    <row r="63" spans="7:29" x14ac:dyDescent="0.2">
      <c r="Q63" s="469"/>
      <c r="R63" s="409" t="s">
        <v>1123</v>
      </c>
      <c r="S63" s="408"/>
      <c r="T63" s="408"/>
      <c r="U63" s="408"/>
      <c r="V63" s="408"/>
      <c r="W63" s="408"/>
      <c r="X63" s="419"/>
    </row>
    <row r="64" spans="7:29" ht="38.25" x14ac:dyDescent="0.2">
      <c r="Q64" s="469"/>
      <c r="R64" s="409" t="s">
        <v>1124</v>
      </c>
      <c r="S64" s="408"/>
      <c r="T64" s="408">
        <v>1</v>
      </c>
      <c r="U64" s="408" t="s">
        <v>1125</v>
      </c>
      <c r="V64" s="408">
        <v>20000</v>
      </c>
      <c r="W64" s="408"/>
      <c r="X64" s="419">
        <v>20000</v>
      </c>
    </row>
    <row r="65" spans="17:24" ht="25.5" x14ac:dyDescent="0.2">
      <c r="Q65" s="469"/>
      <c r="R65" s="409" t="s">
        <v>1126</v>
      </c>
      <c r="S65" s="408"/>
      <c r="T65" s="408">
        <v>500</v>
      </c>
      <c r="U65" s="408" t="s">
        <v>1127</v>
      </c>
      <c r="V65" s="408">
        <v>45</v>
      </c>
      <c r="W65" s="408"/>
      <c r="X65" s="419">
        <v>22500</v>
      </c>
    </row>
    <row r="66" spans="17:24" x14ac:dyDescent="0.2">
      <c r="Q66" s="469"/>
      <c r="R66" s="409" t="s">
        <v>1128</v>
      </c>
      <c r="S66" s="408"/>
      <c r="T66" s="408">
        <v>2</v>
      </c>
      <c r="U66" s="408" t="s">
        <v>1110</v>
      </c>
      <c r="V66" s="408">
        <v>2500</v>
      </c>
      <c r="W66" s="408"/>
      <c r="X66" s="419">
        <v>5000</v>
      </c>
    </row>
    <row r="67" spans="17:24" x14ac:dyDescent="0.2">
      <c r="Q67" s="469"/>
      <c r="R67" s="409" t="s">
        <v>1129</v>
      </c>
      <c r="S67" s="408"/>
      <c r="T67" s="408"/>
      <c r="U67" s="408"/>
      <c r="V67" s="408"/>
      <c r="W67" s="408"/>
      <c r="X67" s="419" t="s">
        <v>1104</v>
      </c>
    </row>
    <row r="68" spans="17:24" x14ac:dyDescent="0.2">
      <c r="Q68" s="469"/>
      <c r="R68" s="409" t="s">
        <v>1130</v>
      </c>
      <c r="S68" s="408"/>
      <c r="T68" s="408">
        <v>6</v>
      </c>
      <c r="U68" s="408" t="s">
        <v>1131</v>
      </c>
      <c r="V68" s="408">
        <v>22000</v>
      </c>
      <c r="W68" s="408"/>
      <c r="X68" s="419">
        <v>132000</v>
      </c>
    </row>
    <row r="69" spans="17:24" x14ac:dyDescent="0.2">
      <c r="Q69" s="469"/>
      <c r="R69" s="409" t="s">
        <v>1132</v>
      </c>
      <c r="S69" s="408"/>
      <c r="T69" s="408">
        <v>8</v>
      </c>
      <c r="U69" s="408" t="s">
        <v>1131</v>
      </c>
      <c r="V69" s="408">
        <v>20000</v>
      </c>
      <c r="W69" s="408"/>
      <c r="X69" s="419">
        <v>160000</v>
      </c>
    </row>
    <row r="70" spans="17:24" ht="38.25" x14ac:dyDescent="0.2">
      <c r="Q70" s="469"/>
      <c r="R70" s="409" t="s">
        <v>1133</v>
      </c>
      <c r="S70" s="408"/>
      <c r="T70" s="408">
        <v>3</v>
      </c>
      <c r="U70" s="408" t="s">
        <v>1131</v>
      </c>
      <c r="V70" s="408">
        <v>18000</v>
      </c>
      <c r="W70" s="408"/>
      <c r="X70" s="419">
        <v>54000</v>
      </c>
    </row>
    <row r="71" spans="17:24" x14ac:dyDescent="0.2">
      <c r="Q71" s="469"/>
      <c r="R71" s="409" t="s">
        <v>1134</v>
      </c>
      <c r="S71" s="408"/>
      <c r="T71" s="408">
        <v>8</v>
      </c>
      <c r="U71" s="408" t="s">
        <v>1131</v>
      </c>
      <c r="V71" s="408">
        <v>2500</v>
      </c>
      <c r="W71" s="408"/>
      <c r="X71" s="419">
        <v>20000</v>
      </c>
    </row>
    <row r="72" spans="17:24" x14ac:dyDescent="0.2">
      <c r="Q72" s="469"/>
      <c r="R72" s="409" t="s">
        <v>1135</v>
      </c>
      <c r="S72" s="408"/>
      <c r="T72" s="408">
        <v>1</v>
      </c>
      <c r="U72" s="408" t="s">
        <v>1136</v>
      </c>
      <c r="V72" s="408">
        <v>15000</v>
      </c>
      <c r="W72" s="408"/>
      <c r="X72" s="419">
        <v>15000</v>
      </c>
    </row>
    <row r="73" spans="17:24" x14ac:dyDescent="0.2">
      <c r="Q73" s="469"/>
      <c r="R73" s="409" t="s">
        <v>1137</v>
      </c>
      <c r="S73" s="408"/>
      <c r="T73" s="408">
        <v>16</v>
      </c>
      <c r="U73" s="408" t="s">
        <v>1110</v>
      </c>
      <c r="V73" s="408">
        <v>750</v>
      </c>
      <c r="W73" s="408"/>
      <c r="X73" s="419">
        <v>12000</v>
      </c>
    </row>
    <row r="74" spans="17:24" x14ac:dyDescent="0.2">
      <c r="Q74" s="469"/>
      <c r="R74" s="409" t="s">
        <v>1138</v>
      </c>
      <c r="S74" s="408"/>
      <c r="T74" s="408">
        <v>1</v>
      </c>
      <c r="U74" s="408" t="s">
        <v>1136</v>
      </c>
      <c r="V74" s="408">
        <v>10000</v>
      </c>
      <c r="W74" s="408"/>
      <c r="X74" s="419">
        <v>10000</v>
      </c>
    </row>
    <row r="75" spans="17:24" x14ac:dyDescent="0.2">
      <c r="Q75" s="469"/>
      <c r="R75" s="409"/>
      <c r="S75" s="408"/>
      <c r="T75" s="408"/>
      <c r="U75" s="408"/>
      <c r="V75" s="408"/>
      <c r="W75" s="408"/>
      <c r="X75" s="419"/>
    </row>
    <row r="76" spans="17:24" x14ac:dyDescent="0.2">
      <c r="Q76" s="469"/>
      <c r="R76" s="409" t="s">
        <v>1139</v>
      </c>
      <c r="S76" s="408"/>
      <c r="T76" s="408">
        <v>0.04</v>
      </c>
      <c r="U76" s="408" t="s">
        <v>1140</v>
      </c>
      <c r="V76" s="408">
        <v>3600578</v>
      </c>
      <c r="W76" s="408"/>
      <c r="X76" s="419">
        <v>153025</v>
      </c>
    </row>
    <row r="77" spans="17:24" x14ac:dyDescent="0.2">
      <c r="Q77" s="469"/>
      <c r="R77" s="409"/>
      <c r="S77" s="408"/>
      <c r="T77" s="408"/>
      <c r="U77" s="408"/>
      <c r="V77" s="408"/>
      <c r="W77" s="408"/>
      <c r="X77" s="419"/>
    </row>
    <row r="78" spans="17:24" x14ac:dyDescent="0.2">
      <c r="Q78" s="469"/>
      <c r="R78" s="409" t="s">
        <v>1141</v>
      </c>
      <c r="S78" s="408"/>
      <c r="T78" s="408">
        <v>0.02</v>
      </c>
      <c r="U78" s="408" t="s">
        <v>1140</v>
      </c>
      <c r="V78" s="408">
        <v>3753602</v>
      </c>
      <c r="W78" s="408"/>
      <c r="X78" s="419">
        <v>75072</v>
      </c>
    </row>
    <row r="79" spans="17:24" x14ac:dyDescent="0.2">
      <c r="Q79" s="469"/>
      <c r="R79" s="409"/>
      <c r="S79" s="408"/>
      <c r="T79" s="408"/>
      <c r="U79" s="408"/>
      <c r="V79" s="408"/>
      <c r="W79" s="408"/>
      <c r="X79" s="419"/>
    </row>
    <row r="80" spans="17:24" x14ac:dyDescent="0.2">
      <c r="Q80" s="469"/>
      <c r="R80" s="409" t="s">
        <v>1142</v>
      </c>
      <c r="S80" s="408"/>
      <c r="T80" s="408">
        <v>0.08</v>
      </c>
      <c r="U80" s="408" t="s">
        <v>1140</v>
      </c>
      <c r="V80" s="408">
        <v>3828674</v>
      </c>
      <c r="W80" s="408"/>
      <c r="X80" s="419">
        <v>306294</v>
      </c>
    </row>
    <row r="81" spans="17:24" x14ac:dyDescent="0.2">
      <c r="Q81" s="469"/>
      <c r="R81" s="409"/>
      <c r="S81" s="408"/>
      <c r="T81" s="408"/>
      <c r="U81" s="408"/>
      <c r="V81" s="408"/>
      <c r="W81" s="408"/>
      <c r="X81" s="419"/>
    </row>
    <row r="82" spans="17:24" x14ac:dyDescent="0.2">
      <c r="Q82" s="470"/>
      <c r="R82" s="418" t="s">
        <v>1143</v>
      </c>
      <c r="S82" s="471"/>
      <c r="T82" s="471">
        <v>0.1</v>
      </c>
      <c r="U82" s="471" t="s">
        <v>1140</v>
      </c>
      <c r="V82" s="471">
        <v>3590578</v>
      </c>
      <c r="W82" s="471"/>
      <c r="X82" s="420">
        <v>359058</v>
      </c>
    </row>
    <row r="83" spans="17:24" x14ac:dyDescent="0.2">
      <c r="Q83" s="395"/>
      <c r="R83" s="415"/>
      <c r="S83" s="395"/>
      <c r="T83" s="395"/>
      <c r="U83" s="395"/>
      <c r="V83" s="395"/>
      <c r="W83" s="395"/>
      <c r="X83" s="395"/>
    </row>
    <row r="84" spans="17:24" x14ac:dyDescent="0.2">
      <c r="Q84" s="395"/>
      <c r="R84" s="415"/>
      <c r="S84" s="395"/>
      <c r="T84" s="395"/>
      <c r="U84" s="395"/>
      <c r="V84" s="395"/>
      <c r="W84" s="395"/>
      <c r="X84" s="395"/>
    </row>
    <row r="85" spans="17:24" x14ac:dyDescent="0.2">
      <c r="Q85" s="395"/>
      <c r="R85" s="415"/>
      <c r="S85" s="395"/>
      <c r="T85" s="395"/>
      <c r="U85" s="395"/>
      <c r="V85" s="395"/>
      <c r="W85" s="395"/>
      <c r="X85" s="395"/>
    </row>
    <row r="86" spans="17:24" x14ac:dyDescent="0.2">
      <c r="Q86" s="236" t="s">
        <v>1144</v>
      </c>
      <c r="R86" s="472"/>
      <c r="S86" s="400"/>
      <c r="T86" s="400" t="s">
        <v>1107</v>
      </c>
      <c r="U86" s="400"/>
      <c r="V86" s="400" t="s">
        <v>1108</v>
      </c>
      <c r="W86" s="400"/>
      <c r="X86" s="401" t="s">
        <v>784</v>
      </c>
    </row>
    <row r="87" spans="17:24" x14ac:dyDescent="0.2">
      <c r="Q87" s="469"/>
      <c r="R87" s="409"/>
      <c r="S87" s="408"/>
      <c r="T87" s="408"/>
      <c r="U87" s="408"/>
      <c r="V87" s="408"/>
      <c r="W87" s="408"/>
      <c r="X87" s="419"/>
    </row>
    <row r="88" spans="17:24" ht="25.5" x14ac:dyDescent="0.2">
      <c r="Q88" s="469"/>
      <c r="R88" s="409" t="s">
        <v>1145</v>
      </c>
      <c r="S88" s="408"/>
      <c r="T88" s="408">
        <v>42272</v>
      </c>
      <c r="U88" s="408" t="s">
        <v>461</v>
      </c>
      <c r="V88" s="408">
        <v>6.5</v>
      </c>
      <c r="W88" s="408"/>
      <c r="X88" s="419">
        <v>274767</v>
      </c>
    </row>
    <row r="89" spans="17:24" x14ac:dyDescent="0.2">
      <c r="Q89" s="469"/>
      <c r="R89" s="409" t="s">
        <v>1146</v>
      </c>
      <c r="S89" s="408"/>
      <c r="T89" s="408">
        <v>1584</v>
      </c>
      <c r="U89" s="408"/>
      <c r="V89" s="408">
        <v>5</v>
      </c>
      <c r="W89" s="408"/>
      <c r="X89" s="419">
        <v>7920</v>
      </c>
    </row>
    <row r="90" spans="17:24" ht="25.5" x14ac:dyDescent="0.2">
      <c r="Q90" s="469"/>
      <c r="R90" s="409" t="s">
        <v>1147</v>
      </c>
      <c r="S90" s="408"/>
      <c r="T90" s="408">
        <v>1200</v>
      </c>
      <c r="U90" s="408"/>
      <c r="V90" s="408">
        <v>5</v>
      </c>
      <c r="W90" s="408"/>
      <c r="X90" s="419">
        <v>6000</v>
      </c>
    </row>
    <row r="91" spans="17:24" x14ac:dyDescent="0.2">
      <c r="Q91" s="469"/>
      <c r="R91" s="409"/>
      <c r="S91" s="408"/>
      <c r="T91" s="408"/>
      <c r="U91" s="408"/>
      <c r="V91" s="408"/>
      <c r="W91" s="408"/>
      <c r="X91" s="419" t="s">
        <v>1104</v>
      </c>
    </row>
    <row r="92" spans="17:24" ht="25.5" x14ac:dyDescent="0.2">
      <c r="Q92" s="469"/>
      <c r="R92" s="409" t="s">
        <v>1148</v>
      </c>
      <c r="S92" s="408"/>
      <c r="T92" s="408">
        <v>45056</v>
      </c>
      <c r="U92" s="408" t="s">
        <v>461</v>
      </c>
      <c r="V92" s="408">
        <v>23</v>
      </c>
      <c r="W92" s="408"/>
      <c r="X92" s="419">
        <v>1036286</v>
      </c>
    </row>
    <row r="93" spans="17:24" ht="25.5" x14ac:dyDescent="0.2">
      <c r="Q93" s="469"/>
      <c r="R93" s="409" t="s">
        <v>1149</v>
      </c>
      <c r="S93" s="408"/>
      <c r="T93" s="408">
        <v>11000</v>
      </c>
      <c r="U93" s="408" t="s">
        <v>1127</v>
      </c>
      <c r="V93" s="408">
        <v>10</v>
      </c>
      <c r="W93" s="408"/>
      <c r="X93" s="419">
        <v>110000</v>
      </c>
    </row>
    <row r="94" spans="17:24" ht="38.25" x14ac:dyDescent="0.2">
      <c r="Q94" s="469"/>
      <c r="R94" s="409" t="s">
        <v>1150</v>
      </c>
      <c r="S94" s="408"/>
      <c r="T94" s="408">
        <v>3420</v>
      </c>
      <c r="U94" s="408" t="s">
        <v>1127</v>
      </c>
      <c r="V94" s="408">
        <v>4</v>
      </c>
      <c r="W94" s="408"/>
      <c r="X94" s="419">
        <v>13680</v>
      </c>
    </row>
    <row r="95" spans="17:24" x14ac:dyDescent="0.2">
      <c r="Q95" s="469"/>
      <c r="R95" s="409" t="s">
        <v>1151</v>
      </c>
      <c r="S95" s="408"/>
      <c r="T95" s="408">
        <v>530</v>
      </c>
      <c r="U95" s="408" t="s">
        <v>1127</v>
      </c>
      <c r="V95" s="408">
        <v>60</v>
      </c>
      <c r="W95" s="408"/>
      <c r="X95" s="419">
        <v>31800</v>
      </c>
    </row>
    <row r="96" spans="17:24" x14ac:dyDescent="0.2">
      <c r="Q96" s="469"/>
      <c r="R96" s="409" t="s">
        <v>1152</v>
      </c>
      <c r="S96" s="408"/>
      <c r="T96" s="408">
        <v>1584</v>
      </c>
      <c r="U96" s="408"/>
      <c r="V96" s="408">
        <v>20</v>
      </c>
      <c r="W96" s="408"/>
      <c r="X96" s="419">
        <v>31680</v>
      </c>
    </row>
    <row r="97" spans="17:24" ht="25.5" x14ac:dyDescent="0.2">
      <c r="Q97" s="469"/>
      <c r="R97" s="409" t="s">
        <v>1153</v>
      </c>
      <c r="S97" s="408"/>
      <c r="T97" s="408">
        <v>1</v>
      </c>
      <c r="U97" s="408" t="s">
        <v>1125</v>
      </c>
      <c r="V97" s="408">
        <v>50000</v>
      </c>
      <c r="W97" s="408"/>
      <c r="X97" s="419">
        <v>50000</v>
      </c>
    </row>
    <row r="98" spans="17:24" x14ac:dyDescent="0.2">
      <c r="Q98" s="469"/>
      <c r="R98" s="409"/>
      <c r="S98" s="408"/>
      <c r="T98" s="408"/>
      <c r="U98" s="408"/>
      <c r="V98" s="408"/>
      <c r="W98" s="408"/>
      <c r="X98" s="419"/>
    </row>
    <row r="99" spans="17:24" x14ac:dyDescent="0.2">
      <c r="Q99" s="469"/>
      <c r="R99" s="409" t="s">
        <v>1123</v>
      </c>
      <c r="S99" s="408"/>
      <c r="T99" s="408"/>
      <c r="U99" s="408"/>
      <c r="V99" s="408"/>
      <c r="W99" s="408"/>
      <c r="X99" s="419"/>
    </row>
    <row r="100" spans="17:24" ht="38.25" x14ac:dyDescent="0.2">
      <c r="Q100" s="469"/>
      <c r="R100" s="409" t="s">
        <v>1124</v>
      </c>
      <c r="S100" s="408"/>
      <c r="T100" s="408">
        <v>1</v>
      </c>
      <c r="U100" s="408" t="s">
        <v>1125</v>
      </c>
      <c r="V100" s="408">
        <v>20000</v>
      </c>
      <c r="W100" s="408"/>
      <c r="X100" s="419">
        <v>20000</v>
      </c>
    </row>
    <row r="101" spans="17:24" ht="25.5" x14ac:dyDescent="0.2">
      <c r="Q101" s="469"/>
      <c r="R101" s="409" t="s">
        <v>1154</v>
      </c>
      <c r="S101" s="408"/>
      <c r="T101" s="408">
        <v>500</v>
      </c>
      <c r="U101" s="408" t="s">
        <v>1127</v>
      </c>
      <c r="V101" s="408">
        <v>45</v>
      </c>
      <c r="W101" s="408"/>
      <c r="X101" s="419">
        <v>22500</v>
      </c>
    </row>
    <row r="102" spans="17:24" x14ac:dyDescent="0.2">
      <c r="Q102" s="469"/>
      <c r="R102" s="409" t="s">
        <v>1128</v>
      </c>
      <c r="S102" s="408"/>
      <c r="T102" s="408">
        <v>2</v>
      </c>
      <c r="U102" s="408" t="s">
        <v>1110</v>
      </c>
      <c r="V102" s="408">
        <v>2500</v>
      </c>
      <c r="W102" s="408"/>
      <c r="X102" s="419">
        <v>5000</v>
      </c>
    </row>
    <row r="103" spans="17:24" x14ac:dyDescent="0.2">
      <c r="Q103" s="469"/>
      <c r="R103" s="409" t="s">
        <v>1129</v>
      </c>
      <c r="S103" s="408"/>
      <c r="T103" s="408"/>
      <c r="U103" s="408"/>
      <c r="V103" s="408"/>
      <c r="W103" s="408"/>
      <c r="X103" s="419" t="s">
        <v>1104</v>
      </c>
    </row>
    <row r="104" spans="17:24" x14ac:dyDescent="0.2">
      <c r="Q104" s="469"/>
      <c r="R104" s="409" t="s">
        <v>1130</v>
      </c>
      <c r="S104" s="408"/>
      <c r="T104" s="408">
        <v>6</v>
      </c>
      <c r="U104" s="408" t="s">
        <v>1131</v>
      </c>
      <c r="V104" s="408">
        <v>22000</v>
      </c>
      <c r="W104" s="408"/>
      <c r="X104" s="419">
        <v>132000</v>
      </c>
    </row>
    <row r="105" spans="17:24" x14ac:dyDescent="0.2">
      <c r="Q105" s="469"/>
      <c r="R105" s="409" t="s">
        <v>1132</v>
      </c>
      <c r="S105" s="408"/>
      <c r="T105" s="408">
        <v>8</v>
      </c>
      <c r="U105" s="408" t="s">
        <v>1131</v>
      </c>
      <c r="V105" s="408">
        <v>20000</v>
      </c>
      <c r="W105" s="408"/>
      <c r="X105" s="419">
        <v>160000</v>
      </c>
    </row>
    <row r="106" spans="17:24" ht="38.25" x14ac:dyDescent="0.2">
      <c r="Q106" s="469"/>
      <c r="R106" s="409" t="s">
        <v>1133</v>
      </c>
      <c r="S106" s="408"/>
      <c r="T106" s="408">
        <v>3</v>
      </c>
      <c r="U106" s="408" t="s">
        <v>1131</v>
      </c>
      <c r="V106" s="408">
        <v>18000</v>
      </c>
      <c r="W106" s="408"/>
      <c r="X106" s="419">
        <v>54000</v>
      </c>
    </row>
    <row r="107" spans="17:24" x14ac:dyDescent="0.2">
      <c r="Q107" s="469"/>
      <c r="R107" s="409" t="s">
        <v>1134</v>
      </c>
      <c r="S107" s="408"/>
      <c r="T107" s="408">
        <v>8</v>
      </c>
      <c r="U107" s="408" t="s">
        <v>1131</v>
      </c>
      <c r="V107" s="408">
        <v>2500</v>
      </c>
      <c r="W107" s="408"/>
      <c r="X107" s="419">
        <v>20000</v>
      </c>
    </row>
    <row r="108" spans="17:24" x14ac:dyDescent="0.2">
      <c r="Q108" s="469"/>
      <c r="R108" s="409" t="s">
        <v>1135</v>
      </c>
      <c r="S108" s="408"/>
      <c r="T108" s="408">
        <v>1</v>
      </c>
      <c r="U108" s="408" t="s">
        <v>1136</v>
      </c>
      <c r="V108" s="408">
        <v>15000</v>
      </c>
      <c r="W108" s="408"/>
      <c r="X108" s="419">
        <v>15000</v>
      </c>
    </row>
    <row r="109" spans="17:24" x14ac:dyDescent="0.2">
      <c r="Q109" s="469"/>
      <c r="R109" s="409" t="s">
        <v>1137</v>
      </c>
      <c r="S109" s="408"/>
      <c r="T109" s="408">
        <v>5</v>
      </c>
      <c r="U109" s="408" t="s">
        <v>1110</v>
      </c>
      <c r="V109" s="408">
        <v>750</v>
      </c>
      <c r="W109" s="408"/>
      <c r="X109" s="419">
        <v>3750</v>
      </c>
    </row>
    <row r="110" spans="17:24" x14ac:dyDescent="0.2">
      <c r="Q110" s="469"/>
      <c r="R110" s="409" t="s">
        <v>1155</v>
      </c>
      <c r="S110" s="408"/>
      <c r="T110" s="408">
        <v>1</v>
      </c>
      <c r="U110" s="408" t="s">
        <v>1136</v>
      </c>
      <c r="V110" s="408">
        <v>7500</v>
      </c>
      <c r="W110" s="408"/>
      <c r="X110" s="419">
        <v>7500</v>
      </c>
    </row>
    <row r="111" spans="17:24" x14ac:dyDescent="0.2">
      <c r="Q111" s="469"/>
      <c r="R111" s="409"/>
      <c r="S111" s="408"/>
      <c r="T111" s="408"/>
      <c r="U111" s="408"/>
      <c r="V111" s="408"/>
      <c r="W111" s="408"/>
      <c r="X111" s="419"/>
    </row>
    <row r="112" spans="17:24" x14ac:dyDescent="0.2">
      <c r="Q112" s="469"/>
      <c r="R112" s="409" t="s">
        <v>1139</v>
      </c>
      <c r="S112" s="408"/>
      <c r="T112" s="408">
        <v>4.2500000000000003E-2</v>
      </c>
      <c r="U112" s="408" t="s">
        <v>1140</v>
      </c>
      <c r="V112" s="408">
        <f>SUM(X88:X109)</f>
        <v>1994383</v>
      </c>
      <c r="W112" s="408"/>
      <c r="X112" s="419">
        <v>84761</v>
      </c>
    </row>
    <row r="113" spans="17:24" x14ac:dyDescent="0.2">
      <c r="Q113" s="469"/>
      <c r="R113" s="409"/>
      <c r="S113" s="408"/>
      <c r="T113" s="408"/>
      <c r="U113" s="408"/>
      <c r="V113" s="408"/>
      <c r="W113" s="408"/>
      <c r="X113" s="419"/>
    </row>
    <row r="114" spans="17:24" x14ac:dyDescent="0.2">
      <c r="Q114" s="469"/>
      <c r="R114" s="409" t="s">
        <v>1141</v>
      </c>
      <c r="S114" s="408"/>
      <c r="T114" s="408">
        <v>0.02</v>
      </c>
      <c r="U114" s="408" t="s">
        <v>1140</v>
      </c>
      <c r="V114" s="408">
        <f>V112+X112+X110</f>
        <v>2086644</v>
      </c>
      <c r="W114" s="408"/>
      <c r="X114" s="419">
        <v>41733</v>
      </c>
    </row>
    <row r="115" spans="17:24" x14ac:dyDescent="0.2">
      <c r="Q115" s="469"/>
      <c r="R115" s="409"/>
      <c r="S115" s="408"/>
      <c r="T115" s="408"/>
      <c r="U115" s="408"/>
      <c r="V115" s="408"/>
      <c r="W115" s="408"/>
      <c r="X115" s="419"/>
    </row>
    <row r="116" spans="17:24" x14ac:dyDescent="0.2">
      <c r="Q116" s="469"/>
      <c r="R116" s="409" t="s">
        <v>1142</v>
      </c>
      <c r="S116" s="408"/>
      <c r="T116" s="408">
        <v>0.08</v>
      </c>
      <c r="U116" s="408" t="s">
        <v>1140</v>
      </c>
      <c r="V116" s="408">
        <v>2128377</v>
      </c>
      <c r="W116" s="408"/>
      <c r="X116" s="419">
        <v>170270</v>
      </c>
    </row>
    <row r="117" spans="17:24" x14ac:dyDescent="0.2">
      <c r="Q117" s="469"/>
      <c r="R117" s="409"/>
      <c r="S117" s="408"/>
      <c r="T117" s="408"/>
      <c r="U117" s="408"/>
      <c r="V117" s="408"/>
      <c r="W117" s="408"/>
      <c r="X117" s="419" t="s">
        <v>1104</v>
      </c>
    </row>
    <row r="118" spans="17:24" x14ac:dyDescent="0.2">
      <c r="Q118" s="469"/>
      <c r="R118" s="409" t="s">
        <v>1156</v>
      </c>
      <c r="S118" s="408"/>
      <c r="T118" s="408">
        <v>0.1</v>
      </c>
      <c r="U118" s="408" t="s">
        <v>1140</v>
      </c>
      <c r="V118" s="408">
        <v>2298647</v>
      </c>
      <c r="W118" s="408"/>
      <c r="X118" s="419">
        <v>229865</v>
      </c>
    </row>
    <row r="119" spans="17:24" x14ac:dyDescent="0.2">
      <c r="Q119" s="469"/>
      <c r="R119" s="408"/>
      <c r="S119" s="408"/>
      <c r="T119" s="408"/>
      <c r="U119" s="408"/>
      <c r="V119" s="408"/>
      <c r="W119" s="408"/>
      <c r="X119" s="419"/>
    </row>
    <row r="120" spans="17:24" x14ac:dyDescent="0.2">
      <c r="Q120" s="470"/>
      <c r="R120" s="471"/>
      <c r="S120" s="471"/>
      <c r="T120" s="471"/>
      <c r="U120" s="471"/>
      <c r="V120" s="471"/>
      <c r="W120" s="471"/>
      <c r="X120" s="420"/>
    </row>
  </sheetData>
  <hyperlinks>
    <hyperlink ref="J42" r:id="rId1" xr:uid="{85074835-C8C3-46FF-B299-6FC457077084}"/>
  </hyperlinks>
  <pageMargins left="0.25" right="0.25" top="0.75" bottom="0.75" header="0.3" footer="0.3"/>
  <pageSetup orientation="portrait" r:id="rId2"/>
  <drawing r:id="rId3"/>
  <legacy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16DF4-B015-4486-8119-1A31BCD2A1C2}">
  <sheetPr>
    <pageSetUpPr fitToPage="1"/>
  </sheetPr>
  <dimension ref="A1:AN92"/>
  <sheetViews>
    <sheetView workbookViewId="0"/>
  </sheetViews>
  <sheetFormatPr defaultColWidth="9.140625" defaultRowHeight="14.25" x14ac:dyDescent="0.2"/>
  <cols>
    <col min="1" max="1" width="39.7109375" style="138" customWidth="1"/>
    <col min="2" max="2" width="8.85546875" style="138" customWidth="1"/>
    <col min="3" max="3" width="17.28515625" style="138" customWidth="1"/>
    <col min="4" max="4" width="7.5703125" style="140" customWidth="1"/>
    <col min="5" max="6" width="7.5703125" style="141" customWidth="1"/>
    <col min="7" max="9" width="7.5703125" style="140" customWidth="1"/>
    <col min="10" max="10" width="8.28515625" style="140" customWidth="1"/>
    <col min="11" max="11" width="7.5703125" style="140" customWidth="1"/>
    <col min="12" max="13" width="7.5703125" style="141" customWidth="1"/>
    <col min="14" max="17" width="7.5703125" style="140" customWidth="1"/>
    <col min="18" max="18" width="7.85546875" style="139" customWidth="1"/>
    <col min="19" max="20" width="9.140625" style="138"/>
    <col min="21" max="21" width="22.42578125" style="138" bestFit="1" customWidth="1"/>
    <col min="22" max="22" width="14.5703125" style="138" customWidth="1"/>
    <col min="23" max="24" width="13" style="138" customWidth="1"/>
    <col min="25" max="29" width="9.140625" style="138"/>
    <col min="30" max="30" width="12.5703125" style="138" customWidth="1"/>
    <col min="31" max="31" width="10" style="138" customWidth="1"/>
    <col min="32" max="34" width="9.140625" style="138"/>
    <col min="35" max="35" width="13.28515625" style="138" customWidth="1"/>
    <col min="36" max="16384" width="9.140625" style="138"/>
  </cols>
  <sheetData>
    <row r="1" spans="1:40" ht="51.75" thickBot="1" x14ac:dyDescent="0.25">
      <c r="A1" s="484" t="s">
        <v>1495</v>
      </c>
    </row>
    <row r="2" spans="1:40" ht="45.75" thickTop="1" x14ac:dyDescent="0.25">
      <c r="B2" s="654" t="s">
        <v>1157</v>
      </c>
      <c r="C2" s="655"/>
      <c r="D2" s="655"/>
      <c r="E2" s="655"/>
      <c r="F2" s="655"/>
      <c r="G2" s="655"/>
      <c r="H2" s="655"/>
      <c r="I2" s="655"/>
      <c r="J2" s="655"/>
      <c r="K2" s="655"/>
      <c r="L2" s="655"/>
      <c r="M2" s="655"/>
      <c r="N2" s="655"/>
      <c r="O2" s="655"/>
      <c r="P2" s="655"/>
      <c r="Q2" s="655"/>
      <c r="R2" s="656"/>
      <c r="AD2" s="207" t="s">
        <v>395</v>
      </c>
      <c r="AE2" s="207" t="s">
        <v>396</v>
      </c>
      <c r="AF2" s="207" t="s">
        <v>167</v>
      </c>
      <c r="AG2" s="207" t="s">
        <v>397</v>
      </c>
      <c r="AH2" s="207" t="s">
        <v>398</v>
      </c>
      <c r="AI2" s="207" t="s">
        <v>399</v>
      </c>
      <c r="AJ2" s="207" t="s">
        <v>400</v>
      </c>
      <c r="AK2" s="207" t="s">
        <v>401</v>
      </c>
      <c r="AL2" s="207" t="s">
        <v>1158</v>
      </c>
      <c r="AM2" s="263"/>
      <c r="AN2" s="263"/>
    </row>
    <row r="3" spans="1:40" ht="15" customHeight="1" x14ac:dyDescent="0.25">
      <c r="B3" s="179" t="s">
        <v>1159</v>
      </c>
      <c r="C3" s="178" t="s">
        <v>1160</v>
      </c>
      <c r="D3" s="660" t="s">
        <v>1161</v>
      </c>
      <c r="E3" s="661"/>
      <c r="F3" s="661"/>
      <c r="G3" s="661"/>
      <c r="H3" s="661"/>
      <c r="I3" s="661"/>
      <c r="J3" s="661"/>
      <c r="K3" s="662" t="s">
        <v>1162</v>
      </c>
      <c r="L3" s="663"/>
      <c r="M3" s="663"/>
      <c r="N3" s="663"/>
      <c r="O3" s="663"/>
      <c r="P3" s="663"/>
      <c r="Q3" s="664"/>
      <c r="R3" s="175" t="s">
        <v>1163</v>
      </c>
      <c r="AD3" s="263" t="s">
        <v>405</v>
      </c>
      <c r="AE3" s="263" t="s">
        <v>406</v>
      </c>
      <c r="AF3" s="263" t="s">
        <v>405</v>
      </c>
      <c r="AG3" s="181">
        <f>VLOOKUP(AE3,'GHG Coefficient Lookup'!$B$5:$Q$31,6)/3412</f>
        <v>0.22336254396248537</v>
      </c>
      <c r="AH3" s="181">
        <f>VLOOKUP(AE3,'GHG Coefficient Lookup'!$B$5:$Q$31,13)/3412</f>
        <v>0.42244958968347007</v>
      </c>
      <c r="AI3" s="181">
        <f>AH3</f>
        <v>0.42244958968347007</v>
      </c>
      <c r="AJ3" s="180">
        <f>VLOOKUP(AF3,'GHG Coefficient Lookup'!$B$40:$J$90,9)</f>
        <v>0.14157151230949588</v>
      </c>
      <c r="AK3" s="181">
        <f>AI3/2.205</f>
        <v>0.19158711550270752</v>
      </c>
      <c r="AL3" s="181">
        <f>AL4</f>
        <v>2.6955815986857323E-3</v>
      </c>
      <c r="AM3" s="263"/>
      <c r="AN3" s="263"/>
    </row>
    <row r="4" spans="1:40" ht="15" x14ac:dyDescent="0.25">
      <c r="B4" s="179"/>
      <c r="C4" s="178"/>
      <c r="D4" s="665" t="s">
        <v>1164</v>
      </c>
      <c r="E4" s="666"/>
      <c r="F4" s="666"/>
      <c r="G4" s="666"/>
      <c r="H4" s="666"/>
      <c r="I4" s="666"/>
      <c r="J4" s="666"/>
      <c r="K4" s="667" t="s">
        <v>1164</v>
      </c>
      <c r="L4" s="668"/>
      <c r="M4" s="668"/>
      <c r="N4" s="668"/>
      <c r="O4" s="668"/>
      <c r="P4" s="668"/>
      <c r="Q4" s="669"/>
      <c r="R4" s="175"/>
      <c r="AD4" s="263" t="s">
        <v>409</v>
      </c>
      <c r="AE4" s="263" t="s">
        <v>410</v>
      </c>
      <c r="AF4" s="263" t="s">
        <v>409</v>
      </c>
      <c r="AG4" s="181">
        <f>VLOOKUP(AE4,'GHG Coefficient Lookup'!$B$5:$Q$31,6)/3412</f>
        <v>0.1867168815943728</v>
      </c>
      <c r="AH4" s="181">
        <f>VLOOKUP(AE4,'GHG Coefficient Lookup'!$B$5:$Q$31,13)/3412</f>
        <v>0.31150527549824147</v>
      </c>
      <c r="AI4" s="180">
        <f>'GHG Coefficient Lookup'!AE11</f>
        <v>0.16758000000000001</v>
      </c>
      <c r="AJ4" s="180">
        <f>VLOOKUP(AF4,'GHG Coefficient Lookup'!$B$40:$J$90,9)</f>
        <v>0.13654044548651817</v>
      </c>
      <c r="AK4" s="181">
        <f>AI4/2.205</f>
        <v>7.5999999999999998E-2</v>
      </c>
      <c r="AL4" s="181">
        <f>AL5</f>
        <v>2.6955815986857323E-3</v>
      </c>
      <c r="AM4" s="263"/>
      <c r="AN4" s="263"/>
    </row>
    <row r="5" spans="1:40" ht="39" x14ac:dyDescent="0.25">
      <c r="B5" s="179"/>
      <c r="C5" s="178"/>
      <c r="D5" s="165" t="s">
        <v>1165</v>
      </c>
      <c r="E5" s="166" t="s">
        <v>1166</v>
      </c>
      <c r="F5" s="166" t="s">
        <v>1167</v>
      </c>
      <c r="G5" s="485" t="s">
        <v>1168</v>
      </c>
      <c r="H5" s="165" t="s">
        <v>1169</v>
      </c>
      <c r="I5" s="165" t="s">
        <v>1170</v>
      </c>
      <c r="J5" s="165" t="s">
        <v>1171</v>
      </c>
      <c r="K5" s="176" t="s">
        <v>1165</v>
      </c>
      <c r="L5" s="177" t="s">
        <v>1166</v>
      </c>
      <c r="M5" s="177" t="s">
        <v>1167</v>
      </c>
      <c r="N5" s="485" t="s">
        <v>1168</v>
      </c>
      <c r="O5" s="176" t="s">
        <v>1169</v>
      </c>
      <c r="P5" s="176" t="s">
        <v>1170</v>
      </c>
      <c r="Q5" s="176" t="s">
        <v>1171</v>
      </c>
      <c r="R5" s="175"/>
      <c r="U5" s="174" t="s">
        <v>1160</v>
      </c>
      <c r="V5" s="397" t="s">
        <v>1159</v>
      </c>
      <c r="W5" s="415" t="s">
        <v>1172</v>
      </c>
      <c r="X5" s="415" t="s">
        <v>1173</v>
      </c>
      <c r="AD5" s="263" t="s">
        <v>413</v>
      </c>
      <c r="AE5" s="263" t="s">
        <v>414</v>
      </c>
      <c r="AF5" s="263" t="s">
        <v>415</v>
      </c>
      <c r="AG5" s="181">
        <f>VLOOKUP(AE5,'GHG Coefficient Lookup'!$B$5:$Q$31,6)/3412</f>
        <v>0.15530158264947244</v>
      </c>
      <c r="AH5" s="181">
        <f>VLOOKUP(AE5,'GHG Coefficient Lookup'!$B$5:$Q$31,13)/3412</f>
        <v>0.27714155920281358</v>
      </c>
      <c r="AI5" s="182">
        <f>AG5</f>
        <v>0.15530158264947244</v>
      </c>
      <c r="AJ5" s="180">
        <f>VLOOKUP(AF5,'GHG Coefficient Lookup'!$B$40:$J$90,9)</f>
        <v>0.13307708089097303</v>
      </c>
      <c r="AK5" s="181">
        <f>AI5/2.205</f>
        <v>7.0431556757130351E-2</v>
      </c>
      <c r="AL5" s="181">
        <f>AL6</f>
        <v>2.6955815986857323E-3</v>
      </c>
      <c r="AM5" s="263"/>
      <c r="AN5" s="263"/>
    </row>
    <row r="6" spans="1:40" ht="15" customHeight="1" x14ac:dyDescent="0.25">
      <c r="B6" s="158" t="s">
        <v>1174</v>
      </c>
      <c r="C6" s="172" t="s">
        <v>1175</v>
      </c>
      <c r="D6" s="156">
        <v>1072.28</v>
      </c>
      <c r="E6" s="157">
        <v>7.6999999999999999E-2</v>
      </c>
      <c r="F6" s="157">
        <v>1.0999999999999999E-2</v>
      </c>
      <c r="G6" s="156">
        <v>1077.27</v>
      </c>
      <c r="H6" s="156">
        <v>6.5190000000000001</v>
      </c>
      <c r="I6" s="156">
        <v>6.49</v>
      </c>
      <c r="J6" s="156">
        <v>0.52500000000000002</v>
      </c>
      <c r="K6" s="156">
        <v>1367.7629999999999</v>
      </c>
      <c r="L6" s="157">
        <v>0.11</v>
      </c>
      <c r="M6" s="157">
        <v>1.6E-2</v>
      </c>
      <c r="N6" s="156">
        <v>1375</v>
      </c>
      <c r="O6" s="156">
        <v>6.7610000000000001</v>
      </c>
      <c r="P6" s="156">
        <v>6.7080000000000002</v>
      </c>
      <c r="Q6" s="156">
        <v>0.747</v>
      </c>
      <c r="R6" s="171">
        <v>5.2528105216304501E-2</v>
      </c>
      <c r="U6" s="173" t="s">
        <v>1176</v>
      </c>
      <c r="V6" s="395" t="str">
        <f>INDEX($B$6:$B$31,MATCH($U$6,$C$6:$C$31,0))</f>
        <v>RFCE</v>
      </c>
      <c r="W6" s="473">
        <f>VLOOKUP(V6,$B$6:$R$31,6)</f>
        <v>762.11300000000006</v>
      </c>
      <c r="X6" s="473">
        <f>VLOOKUP(V6,$B$6:$R$31,13)</f>
        <v>1441.3979999999999</v>
      </c>
      <c r="AD6" s="263" t="s">
        <v>418</v>
      </c>
      <c r="AE6" s="263" t="s">
        <v>419</v>
      </c>
      <c r="AF6" s="263" t="s">
        <v>420</v>
      </c>
      <c r="AG6" s="181">
        <f>VLOOKUP(AE6,'GHG Coefficient Lookup'!$B$5:$Q$31,6)/3412</f>
        <v>0.19208880422039862</v>
      </c>
      <c r="AH6" s="181">
        <f>VLOOKUP(AE6,'GHG Coefficient Lookup'!$B$5:$Q$31,13)/3412</f>
        <v>0.44953370457209846</v>
      </c>
      <c r="AI6" s="180">
        <v>5.9437574251020404E-3</v>
      </c>
      <c r="AJ6" s="180">
        <f>VLOOKUP(AF6,'GHG Coefficient Lookup'!$B$40:$J$90,9)</f>
        <v>5.5079132473622512E-2</v>
      </c>
      <c r="AK6" s="181">
        <f>AI6/2.205</f>
        <v>2.6955815986857323E-3</v>
      </c>
      <c r="AL6" s="181">
        <f>AK6</f>
        <v>2.6955815986857323E-3</v>
      </c>
      <c r="AM6" s="263"/>
      <c r="AN6" s="263"/>
    </row>
    <row r="7" spans="1:40" ht="15" customHeight="1" x14ac:dyDescent="0.2">
      <c r="B7" s="158" t="s">
        <v>1177</v>
      </c>
      <c r="C7" s="172" t="s">
        <v>1178</v>
      </c>
      <c r="D7" s="156">
        <v>503.125</v>
      </c>
      <c r="E7" s="157">
        <v>2.3E-2</v>
      </c>
      <c r="F7" s="157">
        <v>4.0000000000000001E-3</v>
      </c>
      <c r="G7" s="156">
        <v>504.85399999999998</v>
      </c>
      <c r="H7" s="156">
        <v>6.9580000000000002</v>
      </c>
      <c r="I7" s="156">
        <v>6.524</v>
      </c>
      <c r="J7" s="156">
        <v>0.63</v>
      </c>
      <c r="K7" s="156">
        <v>1533.8050000000001</v>
      </c>
      <c r="L7" s="157">
        <v>6.8000000000000005E-2</v>
      </c>
      <c r="M7" s="157">
        <v>1.2E-2</v>
      </c>
      <c r="N7" s="156">
        <v>1538.913</v>
      </c>
      <c r="O7" s="156">
        <v>21.79</v>
      </c>
      <c r="P7" s="156">
        <v>20.846</v>
      </c>
      <c r="Q7" s="156">
        <v>1.9650000000000001</v>
      </c>
      <c r="R7" s="171">
        <v>5.2528105216304501E-2</v>
      </c>
    </row>
    <row r="8" spans="1:40" ht="15" customHeight="1" x14ac:dyDescent="0.2">
      <c r="B8" s="158" t="s">
        <v>1179</v>
      </c>
      <c r="C8" s="172" t="s">
        <v>1180</v>
      </c>
      <c r="D8" s="156">
        <v>1043.645</v>
      </c>
      <c r="E8" s="157">
        <v>7.9000000000000001E-2</v>
      </c>
      <c r="F8" s="157">
        <v>1.2E-2</v>
      </c>
      <c r="G8" s="156">
        <v>1049.048</v>
      </c>
      <c r="H8" s="156">
        <v>0.96099999999999997</v>
      </c>
      <c r="I8" s="156">
        <v>0.91300000000000003</v>
      </c>
      <c r="J8" s="156">
        <v>0.27600000000000002</v>
      </c>
      <c r="K8" s="156">
        <v>1384.8230000000001</v>
      </c>
      <c r="L8" s="157">
        <v>9.7000000000000003E-2</v>
      </c>
      <c r="M8" s="157">
        <v>1.4E-2</v>
      </c>
      <c r="N8" s="156">
        <v>1391.222</v>
      </c>
      <c r="O8" s="156">
        <v>1.2989999999999999</v>
      </c>
      <c r="P8" s="156">
        <v>1.1359999999999999</v>
      </c>
      <c r="Q8" s="156">
        <v>0.35399999999999998</v>
      </c>
      <c r="R8" s="171">
        <v>4.23472028310466E-2</v>
      </c>
    </row>
    <row r="9" spans="1:40" ht="15" customHeight="1" x14ac:dyDescent="0.25">
      <c r="B9" s="158" t="s">
        <v>414</v>
      </c>
      <c r="C9" s="172" t="s">
        <v>1181</v>
      </c>
      <c r="D9" s="156">
        <v>527.86199999999997</v>
      </c>
      <c r="E9" s="157">
        <v>3.3000000000000002E-2</v>
      </c>
      <c r="F9" s="157">
        <v>4.0000000000000001E-3</v>
      </c>
      <c r="G9" s="156">
        <v>529.88900000000001</v>
      </c>
      <c r="H9" s="156">
        <v>0.56699999999999995</v>
      </c>
      <c r="I9" s="156">
        <v>0.52900000000000003</v>
      </c>
      <c r="J9" s="156">
        <v>5.1999999999999998E-2</v>
      </c>
      <c r="K9" s="156">
        <v>942.94</v>
      </c>
      <c r="L9" s="157">
        <v>4.4999999999999998E-2</v>
      </c>
      <c r="M9" s="157">
        <v>6.0000000000000001E-3</v>
      </c>
      <c r="N9" s="156">
        <v>945.60699999999997</v>
      </c>
      <c r="O9" s="156">
        <v>0.82799999999999996</v>
      </c>
      <c r="P9" s="156">
        <v>0.78300000000000003</v>
      </c>
      <c r="Q9" s="156">
        <v>5.6000000000000001E-2</v>
      </c>
      <c r="R9" s="171">
        <v>4.23472028310466E-2</v>
      </c>
      <c r="AD9" s="263" t="s">
        <v>1182</v>
      </c>
      <c r="AE9" s="263">
        <v>53.11</v>
      </c>
      <c r="AF9" s="263" t="s">
        <v>1183</v>
      </c>
    </row>
    <row r="10" spans="1:40" ht="15" customHeight="1" x14ac:dyDescent="0.25">
      <c r="B10" s="158" t="s">
        <v>1184</v>
      </c>
      <c r="C10" s="172" t="s">
        <v>1185</v>
      </c>
      <c r="D10" s="156">
        <v>1009.1559999999999</v>
      </c>
      <c r="E10" s="157">
        <v>7.5999999999999998E-2</v>
      </c>
      <c r="F10" s="157">
        <v>1.0999999999999999E-2</v>
      </c>
      <c r="G10" s="156">
        <v>1014.076</v>
      </c>
      <c r="H10" s="156">
        <v>0.54500000000000004</v>
      </c>
      <c r="I10" s="156">
        <v>0.57099999999999995</v>
      </c>
      <c r="J10" s="156">
        <v>1.0349999999999999</v>
      </c>
      <c r="K10" s="156">
        <v>1402.8209999999999</v>
      </c>
      <c r="L10" s="157">
        <v>0.108</v>
      </c>
      <c r="M10" s="157">
        <v>1.4999999999999999E-2</v>
      </c>
      <c r="N10" s="156">
        <v>1409.751</v>
      </c>
      <c r="O10" s="156">
        <v>0.751</v>
      </c>
      <c r="P10" s="156">
        <v>0.745</v>
      </c>
      <c r="Q10" s="156">
        <v>1.5960000000000001</v>
      </c>
      <c r="R10" s="171">
        <v>4.8885154797144198E-2</v>
      </c>
      <c r="AD10" s="263" t="s">
        <v>1186</v>
      </c>
      <c r="AE10" s="263">
        <v>7.5999999999999998E-2</v>
      </c>
      <c r="AF10" s="263" t="s">
        <v>449</v>
      </c>
    </row>
    <row r="11" spans="1:40" ht="15" customHeight="1" x14ac:dyDescent="0.25">
      <c r="B11" s="158" t="s">
        <v>1187</v>
      </c>
      <c r="C11" s="172" t="s">
        <v>1188</v>
      </c>
      <c r="D11" s="156">
        <v>1011.683</v>
      </c>
      <c r="E11" s="157">
        <v>7.4999999999999997E-2</v>
      </c>
      <c r="F11" s="157">
        <v>0.01</v>
      </c>
      <c r="G11" s="156">
        <v>1016.353</v>
      </c>
      <c r="H11" s="156">
        <v>0.53200000000000003</v>
      </c>
      <c r="I11" s="156">
        <v>0.54700000000000004</v>
      </c>
      <c r="J11" s="156">
        <v>0.372</v>
      </c>
      <c r="K11" s="156">
        <v>1188.4849999999999</v>
      </c>
      <c r="L11" s="157">
        <v>7.8E-2</v>
      </c>
      <c r="M11" s="157">
        <v>1.0999999999999999E-2</v>
      </c>
      <c r="N11" s="156">
        <v>1193.2660000000001</v>
      </c>
      <c r="O11" s="156">
        <v>0.59399999999999997</v>
      </c>
      <c r="P11" s="156">
        <v>0.61299999999999999</v>
      </c>
      <c r="Q11" s="156">
        <v>0.434</v>
      </c>
      <c r="R11" s="171">
        <v>4.4874183834912797E-2</v>
      </c>
      <c r="AD11" s="263" t="s">
        <v>1189</v>
      </c>
      <c r="AE11" s="180">
        <f>AE10*2.205</f>
        <v>0.16758000000000001</v>
      </c>
      <c r="AF11" s="263" t="s">
        <v>1190</v>
      </c>
    </row>
    <row r="12" spans="1:40" ht="15" customHeight="1" x14ac:dyDescent="0.2">
      <c r="B12" s="158" t="s">
        <v>1191</v>
      </c>
      <c r="C12" s="172" t="s">
        <v>1192</v>
      </c>
      <c r="D12" s="156">
        <v>1152.0160000000001</v>
      </c>
      <c r="E12" s="157">
        <v>9.5000000000000001E-2</v>
      </c>
      <c r="F12" s="157">
        <v>1.4999999999999999E-2</v>
      </c>
      <c r="G12" s="156">
        <v>1158.7080000000001</v>
      </c>
      <c r="H12" s="156">
        <v>7.4450000000000003</v>
      </c>
      <c r="I12" s="156">
        <v>6.9749999999999996</v>
      </c>
      <c r="J12" s="156">
        <v>4.5</v>
      </c>
      <c r="K12" s="156">
        <v>1529.999</v>
      </c>
      <c r="L12" s="157">
        <v>0.14699999999999999</v>
      </c>
      <c r="M12" s="157">
        <v>2.3E-2</v>
      </c>
      <c r="N12" s="156">
        <v>1540.2049999999999</v>
      </c>
      <c r="O12" s="156">
        <v>11.82</v>
      </c>
      <c r="P12" s="156">
        <v>11.316000000000001</v>
      </c>
      <c r="Q12" s="156">
        <v>4.5469999999999997</v>
      </c>
      <c r="R12" s="171">
        <v>5.3495907326790097E-2</v>
      </c>
    </row>
    <row r="13" spans="1:40" ht="15" customHeight="1" x14ac:dyDescent="0.2">
      <c r="B13" s="158" t="s">
        <v>1193</v>
      </c>
      <c r="C13" s="172" t="s">
        <v>1194</v>
      </c>
      <c r="D13" s="156">
        <v>1662.8879999999999</v>
      </c>
      <c r="E13" s="157">
        <v>0.18099999999999999</v>
      </c>
      <c r="F13" s="157">
        <v>2.8000000000000001E-2</v>
      </c>
      <c r="G13" s="156">
        <v>1675.2239999999999</v>
      </c>
      <c r="H13" s="156">
        <v>3.3679999999999999</v>
      </c>
      <c r="I13" s="156">
        <v>3.1960000000000002</v>
      </c>
      <c r="J13" s="156">
        <v>8.6479999999999997</v>
      </c>
      <c r="K13" s="156">
        <v>1637.529</v>
      </c>
      <c r="L13" s="157">
        <v>0.153</v>
      </c>
      <c r="M13" s="157">
        <v>2.4E-2</v>
      </c>
      <c r="N13" s="156">
        <v>1648.3140000000001</v>
      </c>
      <c r="O13" s="156">
        <v>4.0999999999999996</v>
      </c>
      <c r="P13" s="156">
        <v>4.1559999999999997</v>
      </c>
      <c r="Q13" s="156">
        <v>8.1479999999999997</v>
      </c>
      <c r="R13" s="171">
        <v>5.3495907326790097E-2</v>
      </c>
    </row>
    <row r="14" spans="1:40" ht="15" customHeight="1" x14ac:dyDescent="0.2">
      <c r="B14" s="158" t="s">
        <v>1195</v>
      </c>
      <c r="C14" s="172" t="s">
        <v>1196</v>
      </c>
      <c r="D14" s="156">
        <v>1668.212</v>
      </c>
      <c r="E14" s="157">
        <v>0.156</v>
      </c>
      <c r="F14" s="157">
        <v>2.5999999999999999E-2</v>
      </c>
      <c r="G14" s="156">
        <v>1679.2929999999999</v>
      </c>
      <c r="H14" s="156">
        <v>1.046</v>
      </c>
      <c r="I14" s="156">
        <v>1.085</v>
      </c>
      <c r="J14" s="156">
        <v>1.288</v>
      </c>
      <c r="K14" s="156">
        <v>1740.0550000000001</v>
      </c>
      <c r="L14" s="157">
        <v>0.156</v>
      </c>
      <c r="M14" s="157">
        <v>2.5000000000000001E-2</v>
      </c>
      <c r="N14" s="156">
        <v>1750.9359999999999</v>
      </c>
      <c r="O14" s="156">
        <v>0.98099999999999998</v>
      </c>
      <c r="P14" s="156">
        <v>1.0109999999999999</v>
      </c>
      <c r="Q14" s="156">
        <v>1.329</v>
      </c>
      <c r="R14" s="171">
        <v>4.4874183834912797E-2</v>
      </c>
    </row>
    <row r="15" spans="1:40" ht="15" customHeight="1" x14ac:dyDescent="0.2">
      <c r="B15" s="158" t="s">
        <v>1197</v>
      </c>
      <c r="C15" s="172" t="s">
        <v>1198</v>
      </c>
      <c r="D15" s="156">
        <v>1238.817</v>
      </c>
      <c r="E15" s="157">
        <v>0.115</v>
      </c>
      <c r="F15" s="157">
        <v>0.02</v>
      </c>
      <c r="G15" s="156">
        <v>1247.4259999999999</v>
      </c>
      <c r="H15" s="156">
        <v>1.0429999999999999</v>
      </c>
      <c r="I15" s="156">
        <v>1.056</v>
      </c>
      <c r="J15" s="156">
        <v>1.3919999999999999</v>
      </c>
      <c r="K15" s="156">
        <v>1821.9670000000001</v>
      </c>
      <c r="L15" s="157">
        <v>0.154</v>
      </c>
      <c r="M15" s="157">
        <v>2.9000000000000001E-2</v>
      </c>
      <c r="N15" s="156">
        <v>1833.9860000000001</v>
      </c>
      <c r="O15" s="156">
        <v>1.5840000000000001</v>
      </c>
      <c r="P15" s="156">
        <v>1.4790000000000001</v>
      </c>
      <c r="Q15" s="156">
        <v>2.024</v>
      </c>
      <c r="R15" s="171">
        <v>4.4874183834912797E-2</v>
      </c>
    </row>
    <row r="16" spans="1:40" ht="15" customHeight="1" x14ac:dyDescent="0.2">
      <c r="B16" s="158" t="s">
        <v>1199</v>
      </c>
      <c r="C16" s="172" t="s">
        <v>1200</v>
      </c>
      <c r="D16" s="156">
        <v>558.15599999999995</v>
      </c>
      <c r="E16" s="157">
        <v>0.09</v>
      </c>
      <c r="F16" s="157">
        <v>1.2E-2</v>
      </c>
      <c r="G16" s="156">
        <v>563.71699999999998</v>
      </c>
      <c r="H16" s="156">
        <v>0.38900000000000001</v>
      </c>
      <c r="I16" s="156">
        <v>0.372</v>
      </c>
      <c r="J16" s="156">
        <v>0.126</v>
      </c>
      <c r="K16" s="156">
        <v>975.13599999999997</v>
      </c>
      <c r="L16" s="157">
        <v>8.5999999999999993E-2</v>
      </c>
      <c r="M16" s="157">
        <v>1.0999999999999999E-2</v>
      </c>
      <c r="N16" s="156">
        <v>980.49199999999996</v>
      </c>
      <c r="O16" s="156">
        <v>0.52200000000000002</v>
      </c>
      <c r="P16" s="156">
        <v>0.438</v>
      </c>
      <c r="Q16" s="156">
        <v>0.23200000000000001</v>
      </c>
      <c r="R16" s="171">
        <v>4.4874183834912797E-2</v>
      </c>
    </row>
    <row r="17" spans="2:18" ht="15" customHeight="1" x14ac:dyDescent="0.2">
      <c r="B17" s="158" t="s">
        <v>419</v>
      </c>
      <c r="C17" s="172" t="s">
        <v>1201</v>
      </c>
      <c r="D17" s="156">
        <v>651.19899999999996</v>
      </c>
      <c r="E17" s="157">
        <v>6.0999999999999999E-2</v>
      </c>
      <c r="F17" s="157">
        <v>8.9999999999999993E-3</v>
      </c>
      <c r="G17" s="156">
        <v>655.40700000000004</v>
      </c>
      <c r="H17" s="156">
        <v>0.61199999999999999</v>
      </c>
      <c r="I17" s="156">
        <v>0.65300000000000002</v>
      </c>
      <c r="J17" s="156">
        <v>0.439</v>
      </c>
      <c r="K17" s="156">
        <v>1524.886</v>
      </c>
      <c r="L17" s="157">
        <v>0.124</v>
      </c>
      <c r="M17" s="157">
        <v>0.02</v>
      </c>
      <c r="N17" s="156">
        <v>1533.809</v>
      </c>
      <c r="O17" s="156">
        <v>1.387</v>
      </c>
      <c r="P17" s="156">
        <v>1.4059999999999999</v>
      </c>
      <c r="Q17" s="156">
        <v>0.84399999999999997</v>
      </c>
      <c r="R17" s="171">
        <v>4.23472028310466E-2</v>
      </c>
    </row>
    <row r="18" spans="2:18" ht="15" customHeight="1" x14ac:dyDescent="0.2">
      <c r="B18" s="158" t="s">
        <v>410</v>
      </c>
      <c r="C18" s="172" t="s">
        <v>1202</v>
      </c>
      <c r="D18" s="156">
        <v>635.80999999999995</v>
      </c>
      <c r="E18" s="157">
        <v>2.1999999999999999E-2</v>
      </c>
      <c r="F18" s="157">
        <v>3.0000000000000001E-3</v>
      </c>
      <c r="G18" s="156">
        <v>637.07799999999997</v>
      </c>
      <c r="H18" s="156">
        <v>0.25800000000000001</v>
      </c>
      <c r="I18" s="156">
        <v>0.32600000000000001</v>
      </c>
      <c r="J18" s="156">
        <v>1.6E-2</v>
      </c>
      <c r="K18" s="156">
        <v>1061.6759999999999</v>
      </c>
      <c r="L18" s="157">
        <v>2.1999999999999999E-2</v>
      </c>
      <c r="M18" s="157">
        <v>2E-3</v>
      </c>
      <c r="N18" s="156">
        <v>1062.856</v>
      </c>
      <c r="O18" s="156">
        <v>0.47299999999999998</v>
      </c>
      <c r="P18" s="156">
        <v>0.56200000000000006</v>
      </c>
      <c r="Q18" s="156">
        <v>2.4E-2</v>
      </c>
      <c r="R18" s="171">
        <v>4.4874183834912797E-2</v>
      </c>
    </row>
    <row r="19" spans="2:18" ht="15" customHeight="1" x14ac:dyDescent="0.2">
      <c r="B19" s="158" t="s">
        <v>1203</v>
      </c>
      <c r="C19" s="172" t="s">
        <v>1204</v>
      </c>
      <c r="D19" s="156">
        <v>1178.3219999999999</v>
      </c>
      <c r="E19" s="157">
        <v>0.126</v>
      </c>
      <c r="F19" s="157">
        <v>1.6E-2</v>
      </c>
      <c r="G19" s="156">
        <v>1185.992</v>
      </c>
      <c r="H19" s="156">
        <v>0.86099999999999999</v>
      </c>
      <c r="I19" s="156">
        <v>0.84</v>
      </c>
      <c r="J19" s="156">
        <v>0.157</v>
      </c>
      <c r="K19" s="156">
        <v>1338.799</v>
      </c>
      <c r="L19" s="157">
        <v>3.5999999999999997E-2</v>
      </c>
      <c r="M19" s="157">
        <v>4.0000000000000001E-3</v>
      </c>
      <c r="N19" s="156">
        <v>1340.8989999999999</v>
      </c>
      <c r="O19" s="156">
        <v>0.93100000000000005</v>
      </c>
      <c r="P19" s="156">
        <v>0.878</v>
      </c>
      <c r="Q19" s="156">
        <v>0.28199999999999997</v>
      </c>
      <c r="R19" s="171">
        <v>4.4874183834912797E-2</v>
      </c>
    </row>
    <row r="20" spans="2:18" ht="15" customHeight="1" x14ac:dyDescent="0.2">
      <c r="B20" s="158" t="s">
        <v>1205</v>
      </c>
      <c r="C20" s="172" t="s">
        <v>1206</v>
      </c>
      <c r="D20" s="156">
        <v>294.661</v>
      </c>
      <c r="E20" s="157">
        <v>2.1000000000000001E-2</v>
      </c>
      <c r="F20" s="157">
        <v>3.0000000000000001E-3</v>
      </c>
      <c r="G20" s="156">
        <v>295.94200000000001</v>
      </c>
      <c r="H20" s="156">
        <v>0.29399999999999998</v>
      </c>
      <c r="I20" s="156">
        <v>0.315</v>
      </c>
      <c r="J20" s="156">
        <v>0.188</v>
      </c>
      <c r="K20" s="156">
        <v>1018.249</v>
      </c>
      <c r="L20" s="157">
        <v>6.0999999999999999E-2</v>
      </c>
      <c r="M20" s="157">
        <v>8.0000000000000002E-3</v>
      </c>
      <c r="N20" s="156">
        <v>1022.002</v>
      </c>
      <c r="O20" s="156">
        <v>0.79200000000000004</v>
      </c>
      <c r="P20" s="156">
        <v>0.77</v>
      </c>
      <c r="Q20" s="156">
        <v>0.92</v>
      </c>
      <c r="R20" s="171">
        <v>4.4874183834912797E-2</v>
      </c>
    </row>
    <row r="21" spans="2:18" ht="15" customHeight="1" x14ac:dyDescent="0.2">
      <c r="B21" s="158" t="s">
        <v>406</v>
      </c>
      <c r="C21" s="172" t="s">
        <v>1176</v>
      </c>
      <c r="D21" s="156">
        <v>758.178</v>
      </c>
      <c r="E21" s="157">
        <v>0.05</v>
      </c>
      <c r="F21" s="157">
        <v>8.9999999999999993E-3</v>
      </c>
      <c r="G21" s="156">
        <v>762.11300000000006</v>
      </c>
      <c r="H21" s="156">
        <v>0.59</v>
      </c>
      <c r="I21" s="156">
        <v>0.56000000000000005</v>
      </c>
      <c r="J21" s="156">
        <v>0.57099999999999995</v>
      </c>
      <c r="K21" s="156">
        <v>1434.424</v>
      </c>
      <c r="L21" s="157">
        <v>7.9000000000000001E-2</v>
      </c>
      <c r="M21" s="157">
        <v>1.7000000000000001E-2</v>
      </c>
      <c r="N21" s="156">
        <v>1441.3979999999999</v>
      </c>
      <c r="O21" s="156">
        <v>1.236</v>
      </c>
      <c r="P21" s="156">
        <v>1.115</v>
      </c>
      <c r="Q21" s="156">
        <v>1.2250000000000001</v>
      </c>
      <c r="R21" s="171">
        <v>4.4874183834912797E-2</v>
      </c>
    </row>
    <row r="22" spans="2:18" ht="15" customHeight="1" x14ac:dyDescent="0.2">
      <c r="B22" s="158" t="s">
        <v>1207</v>
      </c>
      <c r="C22" s="172" t="s">
        <v>1208</v>
      </c>
      <c r="D22" s="156">
        <v>1272.0450000000001</v>
      </c>
      <c r="E22" s="157">
        <v>6.7000000000000004E-2</v>
      </c>
      <c r="F22" s="157">
        <v>1.7999999999999999E-2</v>
      </c>
      <c r="G22" s="156">
        <v>1278.896</v>
      </c>
      <c r="H22" s="156">
        <v>0.90500000000000003</v>
      </c>
      <c r="I22" s="156">
        <v>0.90500000000000003</v>
      </c>
      <c r="J22" s="156">
        <v>1.71</v>
      </c>
      <c r="K22" s="156">
        <v>1806.07</v>
      </c>
      <c r="L22" s="157">
        <v>0.10100000000000001</v>
      </c>
      <c r="M22" s="157">
        <v>2.5000000000000001E-2</v>
      </c>
      <c r="N22" s="156">
        <v>1816.085</v>
      </c>
      <c r="O22" s="156">
        <v>1.3</v>
      </c>
      <c r="P22" s="156">
        <v>1.2170000000000001</v>
      </c>
      <c r="Q22" s="156">
        <v>2.8090000000000002</v>
      </c>
      <c r="R22" s="171">
        <v>4.4874183834912797E-2</v>
      </c>
    </row>
    <row r="23" spans="2:18" ht="15" customHeight="1" x14ac:dyDescent="0.2">
      <c r="B23" s="158" t="s">
        <v>1209</v>
      </c>
      <c r="C23" s="172" t="s">
        <v>1210</v>
      </c>
      <c r="D23" s="156">
        <v>1243.4390000000001</v>
      </c>
      <c r="E23" s="157">
        <v>0.108</v>
      </c>
      <c r="F23" s="157">
        <v>1.9E-2</v>
      </c>
      <c r="G23" s="156">
        <v>1251.472</v>
      </c>
      <c r="H23" s="156">
        <v>0.94499999999999995</v>
      </c>
      <c r="I23" s="156">
        <v>0.93799999999999994</v>
      </c>
      <c r="J23" s="156">
        <v>1.1990000000000001</v>
      </c>
      <c r="K23" s="156">
        <v>1934.366</v>
      </c>
      <c r="L23" s="157">
        <v>0.17199999999999999</v>
      </c>
      <c r="M23" s="157">
        <v>2.9000000000000001E-2</v>
      </c>
      <c r="N23" s="156">
        <v>1946.896</v>
      </c>
      <c r="O23" s="156">
        <v>1.522</v>
      </c>
      <c r="P23" s="156">
        <v>1.4470000000000001</v>
      </c>
      <c r="Q23" s="156">
        <v>2.1850000000000001</v>
      </c>
      <c r="R23" s="171">
        <v>4.4874183834912797E-2</v>
      </c>
    </row>
    <row r="24" spans="2:18" ht="15" customHeight="1" x14ac:dyDescent="0.2">
      <c r="B24" s="158" t="s">
        <v>1211</v>
      </c>
      <c r="C24" s="172" t="s">
        <v>1212</v>
      </c>
      <c r="D24" s="156">
        <v>1367.768</v>
      </c>
      <c r="E24" s="157">
        <v>0.13700000000000001</v>
      </c>
      <c r="F24" s="157">
        <v>0.02</v>
      </c>
      <c r="G24" s="156">
        <v>1376.7750000000001</v>
      </c>
      <c r="H24" s="156">
        <v>1.016</v>
      </c>
      <c r="I24" s="156">
        <v>1.0049999999999999</v>
      </c>
      <c r="J24" s="156">
        <v>0.63800000000000001</v>
      </c>
      <c r="K24" s="156">
        <v>1688.279</v>
      </c>
      <c r="L24" s="157">
        <v>0.14699999999999999</v>
      </c>
      <c r="M24" s="157">
        <v>2.1000000000000001E-2</v>
      </c>
      <c r="N24" s="156">
        <v>1697.877</v>
      </c>
      <c r="O24" s="156">
        <v>1.238</v>
      </c>
      <c r="P24" s="156">
        <v>1.18</v>
      </c>
      <c r="Q24" s="156">
        <v>0.80300000000000005</v>
      </c>
      <c r="R24" s="171">
        <v>4.23472028310466E-2</v>
      </c>
    </row>
    <row r="25" spans="2:18" ht="15" customHeight="1" x14ac:dyDescent="0.2">
      <c r="B25" s="158" t="s">
        <v>1213</v>
      </c>
      <c r="C25" s="172" t="s">
        <v>1214</v>
      </c>
      <c r="D25" s="156">
        <v>1412.35</v>
      </c>
      <c r="E25" s="157">
        <v>0.14899999999999999</v>
      </c>
      <c r="F25" s="157">
        <v>2.1999999999999999E-2</v>
      </c>
      <c r="G25" s="156">
        <v>1422.17</v>
      </c>
      <c r="H25" s="156">
        <v>0.80200000000000005</v>
      </c>
      <c r="I25" s="156">
        <v>0.89500000000000002</v>
      </c>
      <c r="J25" s="156">
        <v>0.45900000000000002</v>
      </c>
      <c r="K25" s="156">
        <v>1990.8219999999999</v>
      </c>
      <c r="L25" s="157">
        <v>0.20200000000000001</v>
      </c>
      <c r="M25" s="157">
        <v>2.9000000000000001E-2</v>
      </c>
      <c r="N25" s="156">
        <v>2004.1079999999999</v>
      </c>
      <c r="O25" s="156">
        <v>1.4119999999999999</v>
      </c>
      <c r="P25" s="156">
        <v>1.4910000000000001</v>
      </c>
      <c r="Q25" s="156">
        <v>1.0669999999999999</v>
      </c>
      <c r="R25" s="171">
        <v>4.4874183834912797E-2</v>
      </c>
    </row>
    <row r="26" spans="2:18" ht="15" customHeight="1" x14ac:dyDescent="0.2">
      <c r="B26" s="158" t="s">
        <v>1215</v>
      </c>
      <c r="C26" s="172" t="s">
        <v>1216</v>
      </c>
      <c r="D26" s="156">
        <v>1248.329</v>
      </c>
      <c r="E26" s="157">
        <v>9.5000000000000001E-2</v>
      </c>
      <c r="F26" s="157">
        <v>1.4999999999999999E-2</v>
      </c>
      <c r="G26" s="156">
        <v>1254.856</v>
      </c>
      <c r="H26" s="156">
        <v>0.85</v>
      </c>
      <c r="I26" s="156">
        <v>0.89700000000000002</v>
      </c>
      <c r="J26" s="156">
        <v>1.66</v>
      </c>
      <c r="K26" s="156">
        <v>1662.548</v>
      </c>
      <c r="L26" s="157">
        <v>0.121</v>
      </c>
      <c r="M26" s="157">
        <v>1.9E-2</v>
      </c>
      <c r="N26" s="156">
        <v>1670.8620000000001</v>
      </c>
      <c r="O26" s="156">
        <v>1.2669999999999999</v>
      </c>
      <c r="P26" s="156">
        <v>1.282</v>
      </c>
      <c r="Q26" s="156">
        <v>2.3759999999999999</v>
      </c>
      <c r="R26" s="171">
        <v>4.4874183834912797E-2</v>
      </c>
    </row>
    <row r="27" spans="2:18" ht="15" customHeight="1" x14ac:dyDescent="0.2">
      <c r="B27" s="158" t="s">
        <v>1217</v>
      </c>
      <c r="C27" s="172" t="s">
        <v>1218</v>
      </c>
      <c r="D27" s="156">
        <v>838.88900000000001</v>
      </c>
      <c r="E27" s="157">
        <v>0.05</v>
      </c>
      <c r="F27" s="157">
        <v>7.0000000000000001E-3</v>
      </c>
      <c r="G27" s="156">
        <v>842.15300000000002</v>
      </c>
      <c r="H27" s="156">
        <v>0.8</v>
      </c>
      <c r="I27" s="156">
        <v>0.874</v>
      </c>
      <c r="J27" s="156">
        <v>0.71199999999999997</v>
      </c>
      <c r="K27" s="156">
        <v>1186.02</v>
      </c>
      <c r="L27" s="157">
        <v>7.0999999999999994E-2</v>
      </c>
      <c r="M27" s="157">
        <v>0.01</v>
      </c>
      <c r="N27" s="156">
        <v>1190.5999999999999</v>
      </c>
      <c r="O27" s="156">
        <v>1.25</v>
      </c>
      <c r="P27" s="156">
        <v>1.38</v>
      </c>
      <c r="Q27" s="156">
        <v>1.091</v>
      </c>
      <c r="R27" s="171">
        <v>4.4874183834912797E-2</v>
      </c>
    </row>
    <row r="28" spans="2:18" ht="15" customHeight="1" x14ac:dyDescent="0.2">
      <c r="B28" s="158" t="s">
        <v>1219</v>
      </c>
      <c r="C28" s="172" t="s">
        <v>1220</v>
      </c>
      <c r="D28" s="156">
        <v>1612.59</v>
      </c>
      <c r="E28" s="157">
        <v>8.2000000000000003E-2</v>
      </c>
      <c r="F28" s="157">
        <v>2.5999999999999999E-2</v>
      </c>
      <c r="G28" s="156">
        <v>1622.4639999999999</v>
      </c>
      <c r="H28" s="156">
        <v>1.135</v>
      </c>
      <c r="I28" s="156">
        <v>1.1299999999999999</v>
      </c>
      <c r="J28" s="156">
        <v>2.4390000000000001</v>
      </c>
      <c r="K28" s="156">
        <v>1955.2149999999999</v>
      </c>
      <c r="L28" s="157">
        <v>8.4000000000000005E-2</v>
      </c>
      <c r="M28" s="157">
        <v>3.1E-2</v>
      </c>
      <c r="N28" s="156">
        <v>1966.5409999999999</v>
      </c>
      <c r="O28" s="156">
        <v>1.2829999999999999</v>
      </c>
      <c r="P28" s="156">
        <v>1.2290000000000001</v>
      </c>
      <c r="Q28" s="156">
        <v>3.0960000000000001</v>
      </c>
      <c r="R28" s="171">
        <v>4.4874183834912797E-2</v>
      </c>
    </row>
    <row r="29" spans="2:18" ht="15" customHeight="1" x14ac:dyDescent="0.2">
      <c r="B29" s="158" t="s">
        <v>1221</v>
      </c>
      <c r="C29" s="172" t="s">
        <v>1222</v>
      </c>
      <c r="D29" s="156">
        <v>1089.374</v>
      </c>
      <c r="E29" s="157">
        <v>8.6999999999999994E-2</v>
      </c>
      <c r="F29" s="157">
        <v>1.2999999999999999E-2</v>
      </c>
      <c r="G29" s="156">
        <v>1095.1189999999999</v>
      </c>
      <c r="H29" s="156">
        <v>0.51</v>
      </c>
      <c r="I29" s="156">
        <v>0.45100000000000001</v>
      </c>
      <c r="J29" s="156">
        <v>0.371</v>
      </c>
      <c r="K29" s="156">
        <v>1453.5409999999999</v>
      </c>
      <c r="L29" s="157">
        <v>0.115</v>
      </c>
      <c r="M29" s="157">
        <v>1.7000000000000001E-2</v>
      </c>
      <c r="N29" s="156">
        <v>1461.0820000000001</v>
      </c>
      <c r="O29" s="156">
        <v>0.78200000000000003</v>
      </c>
      <c r="P29" s="156">
        <v>0.65800000000000003</v>
      </c>
      <c r="Q29" s="156">
        <v>0.63100000000000001</v>
      </c>
      <c r="R29" s="171">
        <v>4.4874183834912797E-2</v>
      </c>
    </row>
    <row r="30" spans="2:18" ht="15" customHeight="1" x14ac:dyDescent="0.2">
      <c r="B30" s="158" t="s">
        <v>1223</v>
      </c>
      <c r="C30" s="172" t="s">
        <v>1224</v>
      </c>
      <c r="D30" s="156">
        <v>1185.433</v>
      </c>
      <c r="E30" s="157">
        <v>9.2999999999999999E-2</v>
      </c>
      <c r="F30" s="157">
        <v>1.7000000000000001E-2</v>
      </c>
      <c r="G30" s="156">
        <v>1192.6379999999999</v>
      </c>
      <c r="H30" s="156">
        <v>0.71899999999999997</v>
      </c>
      <c r="I30" s="156">
        <v>0.72199999999999998</v>
      </c>
      <c r="J30" s="156">
        <v>1.004</v>
      </c>
      <c r="K30" s="156">
        <v>1757.366</v>
      </c>
      <c r="L30" s="157">
        <v>0.13500000000000001</v>
      </c>
      <c r="M30" s="157">
        <v>2.5000000000000001E-2</v>
      </c>
      <c r="N30" s="156">
        <v>1767.8920000000001</v>
      </c>
      <c r="O30" s="156">
        <v>1.101</v>
      </c>
      <c r="P30" s="156">
        <v>1.0509999999999999</v>
      </c>
      <c r="Q30" s="156">
        <v>1.5720000000000001</v>
      </c>
      <c r="R30" s="171">
        <v>4.4874183834912797E-2</v>
      </c>
    </row>
    <row r="31" spans="2:18" ht="15" customHeight="1" thickBot="1" x14ac:dyDescent="0.25">
      <c r="B31" s="154" t="s">
        <v>1225</v>
      </c>
      <c r="C31" s="170" t="s">
        <v>1226</v>
      </c>
      <c r="D31" s="152">
        <v>805.28499999999997</v>
      </c>
      <c r="E31" s="153">
        <v>6.7000000000000004E-2</v>
      </c>
      <c r="F31" s="153">
        <v>1.0999999999999999E-2</v>
      </c>
      <c r="G31" s="152">
        <v>810.13099999999997</v>
      </c>
      <c r="H31" s="152">
        <v>0.47799999999999998</v>
      </c>
      <c r="I31" s="152">
        <v>0.49099999999999999</v>
      </c>
      <c r="J31" s="152">
        <v>0.34200000000000003</v>
      </c>
      <c r="K31" s="152">
        <v>1422.2329999999999</v>
      </c>
      <c r="L31" s="153">
        <v>0.111</v>
      </c>
      <c r="M31" s="153">
        <v>1.9E-2</v>
      </c>
      <c r="N31" s="152">
        <v>1430.364</v>
      </c>
      <c r="O31" s="152">
        <v>0.78700000000000003</v>
      </c>
      <c r="P31" s="152">
        <v>0.76</v>
      </c>
      <c r="Q31" s="152">
        <v>0.628</v>
      </c>
      <c r="R31" s="169">
        <v>4.4874183834912797E-2</v>
      </c>
    </row>
    <row r="32" spans="2:18" s="167" customFormat="1" ht="15" customHeight="1" thickTop="1" thickBot="1" x14ac:dyDescent="0.3">
      <c r="B32" s="670" t="s">
        <v>1227</v>
      </c>
      <c r="C32" s="671"/>
      <c r="D32" s="148">
        <v>998.44299999999998</v>
      </c>
      <c r="E32" s="149">
        <v>0.08</v>
      </c>
      <c r="F32" s="149">
        <v>1.2999999999999999E-2</v>
      </c>
      <c r="G32" s="148">
        <v>1004.167</v>
      </c>
      <c r="H32" s="148">
        <v>0.72099999999999997</v>
      </c>
      <c r="I32" s="148">
        <v>0.71899999999999997</v>
      </c>
      <c r="J32" s="148">
        <v>0.79800000000000004</v>
      </c>
      <c r="K32" s="148">
        <v>1500.9549999999999</v>
      </c>
      <c r="L32" s="149">
        <v>0.111</v>
      </c>
      <c r="M32" s="149">
        <v>1.7999999999999999E-2</v>
      </c>
      <c r="N32" s="148">
        <v>1508.942</v>
      </c>
      <c r="O32" s="148">
        <v>1.0940000000000001</v>
      </c>
      <c r="P32" s="148">
        <v>1.0389999999999999</v>
      </c>
      <c r="Q32" s="148">
        <v>1.282</v>
      </c>
      <c r="R32" s="168">
        <v>4.4758609440378197E-2</v>
      </c>
    </row>
    <row r="33" spans="2:18" ht="15" thickTop="1" x14ac:dyDescent="0.2">
      <c r="Q33" s="143" t="s">
        <v>1228</v>
      </c>
      <c r="R33" s="142">
        <v>43146</v>
      </c>
    </row>
    <row r="35" spans="2:18" ht="15" thickBot="1" x14ac:dyDescent="0.25"/>
    <row r="36" spans="2:18" ht="16.5" thickTop="1" x14ac:dyDescent="0.2">
      <c r="B36" s="654" t="s">
        <v>1229</v>
      </c>
      <c r="C36" s="655"/>
      <c r="D36" s="655"/>
      <c r="E36" s="655"/>
      <c r="F36" s="655"/>
      <c r="G36" s="655"/>
      <c r="H36" s="655"/>
      <c r="I36" s="656"/>
    </row>
    <row r="37" spans="2:18" x14ac:dyDescent="0.2">
      <c r="B37" s="657" t="s">
        <v>167</v>
      </c>
      <c r="C37" s="658" t="s">
        <v>1161</v>
      </c>
      <c r="D37" s="658"/>
      <c r="E37" s="658"/>
      <c r="F37" s="658"/>
      <c r="G37" s="658"/>
      <c r="H37" s="658"/>
      <c r="I37" s="659"/>
    </row>
    <row r="38" spans="2:18" x14ac:dyDescent="0.2">
      <c r="B38" s="657"/>
      <c r="C38" s="658" t="s">
        <v>1230</v>
      </c>
      <c r="D38" s="658"/>
      <c r="E38" s="658"/>
      <c r="F38" s="658"/>
      <c r="G38" s="658"/>
      <c r="H38" s="658"/>
      <c r="I38" s="659"/>
    </row>
    <row r="39" spans="2:18" ht="33.75" x14ac:dyDescent="0.2">
      <c r="B39" s="657"/>
      <c r="C39" s="165" t="s">
        <v>1165</v>
      </c>
      <c r="D39" s="166" t="s">
        <v>1166</v>
      </c>
      <c r="E39" s="166" t="s">
        <v>1167</v>
      </c>
      <c r="F39" s="165" t="s">
        <v>1168</v>
      </c>
      <c r="G39" s="165" t="s">
        <v>1169</v>
      </c>
      <c r="H39" s="165" t="s">
        <v>1170</v>
      </c>
      <c r="I39" s="164" t="s">
        <v>1171</v>
      </c>
    </row>
    <row r="40" spans="2:18" x14ac:dyDescent="0.2">
      <c r="B40" s="158" t="s">
        <v>1231</v>
      </c>
      <c r="C40" s="156">
        <v>925.86199999999997</v>
      </c>
      <c r="D40" s="157">
        <v>6.3E-2</v>
      </c>
      <c r="E40" s="157">
        <v>8.9999999999999993E-3</v>
      </c>
      <c r="F40" s="156">
        <v>930.01300000000003</v>
      </c>
      <c r="G40" s="156">
        <v>6.6319999999999997</v>
      </c>
      <c r="H40" s="156">
        <v>6.4980000000000002</v>
      </c>
      <c r="I40" s="155">
        <v>0.55200000000000005</v>
      </c>
      <c r="J40" s="150">
        <f t="shared" ref="J40:J71" si="0">F40/3.412/1000</f>
        <v>0.27257121922626026</v>
      </c>
    </row>
    <row r="41" spans="2:18" x14ac:dyDescent="0.2">
      <c r="B41" s="158" t="s">
        <v>1232</v>
      </c>
      <c r="C41" s="156">
        <v>912.91700000000003</v>
      </c>
      <c r="D41" s="157">
        <v>6.9000000000000006E-2</v>
      </c>
      <c r="E41" s="157">
        <v>0.01</v>
      </c>
      <c r="F41" s="156">
        <v>917.46799999999996</v>
      </c>
      <c r="G41" s="156">
        <v>0.41799999999999998</v>
      </c>
      <c r="H41" s="156">
        <v>0.38900000000000001</v>
      </c>
      <c r="I41" s="155">
        <v>0.40400000000000003</v>
      </c>
      <c r="J41" s="150">
        <f t="shared" si="0"/>
        <v>0.26889449003517002</v>
      </c>
    </row>
    <row r="42" spans="2:18" x14ac:dyDescent="0.2">
      <c r="B42" s="158" t="s">
        <v>1233</v>
      </c>
      <c r="C42" s="156">
        <v>1115.6500000000001</v>
      </c>
      <c r="D42" s="157">
        <v>0.105</v>
      </c>
      <c r="E42" s="157">
        <v>1.4999999999999999E-2</v>
      </c>
      <c r="F42" s="156">
        <v>1122.5930000000001</v>
      </c>
      <c r="G42" s="156">
        <v>0.92400000000000004</v>
      </c>
      <c r="H42" s="156">
        <v>0.94799999999999995</v>
      </c>
      <c r="I42" s="155">
        <v>1.611</v>
      </c>
      <c r="J42" s="150">
        <f t="shared" si="0"/>
        <v>0.32901318874560376</v>
      </c>
    </row>
    <row r="43" spans="2:18" x14ac:dyDescent="0.2">
      <c r="B43" s="158" t="s">
        <v>1234</v>
      </c>
      <c r="C43" s="156">
        <v>932.22500000000002</v>
      </c>
      <c r="D43" s="157">
        <v>6.7000000000000004E-2</v>
      </c>
      <c r="E43" s="157">
        <v>1.0999999999999999E-2</v>
      </c>
      <c r="F43" s="156">
        <v>937.072</v>
      </c>
      <c r="G43" s="156">
        <v>0.625</v>
      </c>
      <c r="H43" s="156">
        <v>0.60299999999999998</v>
      </c>
      <c r="I43" s="155">
        <v>0.23799999999999999</v>
      </c>
      <c r="J43" s="150">
        <f t="shared" si="0"/>
        <v>0.2746400937866354</v>
      </c>
    </row>
    <row r="44" spans="2:18" ht="15" x14ac:dyDescent="0.25">
      <c r="B44" s="163" t="s">
        <v>415</v>
      </c>
      <c r="C44" s="161">
        <v>452.541</v>
      </c>
      <c r="D44" s="162">
        <v>2.5999999999999999E-2</v>
      </c>
      <c r="E44" s="162">
        <v>3.0000000000000001E-3</v>
      </c>
      <c r="F44" s="161">
        <v>454.05900000000003</v>
      </c>
      <c r="G44" s="161">
        <v>0.47499999999999998</v>
      </c>
      <c r="H44" s="161">
        <v>0.44600000000000001</v>
      </c>
      <c r="I44" s="160">
        <v>3.6999999999999998E-2</v>
      </c>
      <c r="J44" s="159">
        <f t="shared" si="0"/>
        <v>0.13307708089097303</v>
      </c>
    </row>
    <row r="45" spans="2:18" x14ac:dyDescent="0.2">
      <c r="B45" s="158" t="s">
        <v>1235</v>
      </c>
      <c r="C45" s="156">
        <v>1468.373</v>
      </c>
      <c r="D45" s="157">
        <v>0.14599999999999999</v>
      </c>
      <c r="E45" s="157">
        <v>2.1000000000000001E-2</v>
      </c>
      <c r="F45" s="156">
        <v>1477.9449999999999</v>
      </c>
      <c r="G45" s="156">
        <v>1.1200000000000001</v>
      </c>
      <c r="H45" s="156">
        <v>1.127</v>
      </c>
      <c r="I45" s="155">
        <v>0.70499999999999996</v>
      </c>
      <c r="J45" s="150">
        <f t="shared" si="0"/>
        <v>0.43316090269636576</v>
      </c>
    </row>
    <row r="46" spans="2:18" x14ac:dyDescent="0.2">
      <c r="B46" s="158" t="s">
        <v>1236</v>
      </c>
      <c r="C46" s="156">
        <v>498.46699999999998</v>
      </c>
      <c r="D46" s="157">
        <v>6.0999999999999999E-2</v>
      </c>
      <c r="E46" s="157">
        <v>8.0000000000000002E-3</v>
      </c>
      <c r="F46" s="156">
        <v>502.13499999999999</v>
      </c>
      <c r="G46" s="156">
        <v>0.32100000000000001</v>
      </c>
      <c r="H46" s="156">
        <v>0.34599999999999997</v>
      </c>
      <c r="I46" s="155">
        <v>3.5000000000000003E-2</v>
      </c>
      <c r="J46" s="150">
        <f t="shared" si="0"/>
        <v>0.14716735052754981</v>
      </c>
    </row>
    <row r="47" spans="2:18" ht="15" x14ac:dyDescent="0.25">
      <c r="B47" s="163" t="s">
        <v>405</v>
      </c>
      <c r="C47" s="161">
        <v>481.786</v>
      </c>
      <c r="D47" s="162">
        <v>2.3E-2</v>
      </c>
      <c r="E47" s="162">
        <v>2E-3</v>
      </c>
      <c r="F47" s="161">
        <v>483.04199999999997</v>
      </c>
      <c r="G47" s="161">
        <v>4.5780000000000003</v>
      </c>
      <c r="H47" s="161">
        <v>4.5510000000000002</v>
      </c>
      <c r="I47" s="160">
        <v>9.8000000000000004E-2</v>
      </c>
      <c r="J47" s="159">
        <f t="shared" si="0"/>
        <v>0.14157151230949588</v>
      </c>
    </row>
    <row r="48" spans="2:18" x14ac:dyDescent="0.2">
      <c r="B48" s="158" t="s">
        <v>1237</v>
      </c>
      <c r="C48" s="156">
        <v>887.41499999999996</v>
      </c>
      <c r="D48" s="157">
        <v>3.3000000000000002E-2</v>
      </c>
      <c r="E48" s="157">
        <v>4.0000000000000001E-3</v>
      </c>
      <c r="F48" s="156">
        <v>889.33699999999999</v>
      </c>
      <c r="G48" s="156">
        <v>0.39700000000000002</v>
      </c>
      <c r="H48" s="156">
        <v>0.39300000000000002</v>
      </c>
      <c r="I48" s="155">
        <v>0.121</v>
      </c>
      <c r="J48" s="150">
        <f t="shared" si="0"/>
        <v>0.26064976553341146</v>
      </c>
    </row>
    <row r="49" spans="2:10" x14ac:dyDescent="0.2">
      <c r="B49" s="158" t="s">
        <v>1238</v>
      </c>
      <c r="C49" s="156">
        <v>1024.2049999999999</v>
      </c>
      <c r="D49" s="157">
        <v>7.6999999999999999E-2</v>
      </c>
      <c r="E49" s="157">
        <v>0.01</v>
      </c>
      <c r="F49" s="156">
        <v>1028.9670000000001</v>
      </c>
      <c r="G49" s="156">
        <v>0.54600000000000004</v>
      </c>
      <c r="H49" s="156">
        <v>0.56000000000000005</v>
      </c>
      <c r="I49" s="155">
        <v>0.374</v>
      </c>
      <c r="J49" s="150">
        <f t="shared" si="0"/>
        <v>0.30157297772567415</v>
      </c>
    </row>
    <row r="50" spans="2:10" x14ac:dyDescent="0.2">
      <c r="B50" s="158" t="s">
        <v>1239</v>
      </c>
      <c r="C50" s="156">
        <v>1001.754</v>
      </c>
      <c r="D50" s="157">
        <v>8.5999999999999993E-2</v>
      </c>
      <c r="E50" s="157">
        <v>1.2999999999999999E-2</v>
      </c>
      <c r="F50" s="156">
        <v>1007.448</v>
      </c>
      <c r="G50" s="156">
        <v>0.44600000000000001</v>
      </c>
      <c r="H50" s="156">
        <v>0.33400000000000002</v>
      </c>
      <c r="I50" s="155">
        <v>0.35899999999999999</v>
      </c>
      <c r="J50" s="150">
        <f t="shared" si="0"/>
        <v>0.29526611957796012</v>
      </c>
    </row>
    <row r="51" spans="2:10" x14ac:dyDescent="0.2">
      <c r="B51" s="158" t="s">
        <v>1240</v>
      </c>
      <c r="C51" s="156">
        <v>1522.1020000000001</v>
      </c>
      <c r="D51" s="157">
        <v>0.157</v>
      </c>
      <c r="E51" s="157">
        <v>2.4E-2</v>
      </c>
      <c r="F51" s="156">
        <v>1532.8820000000001</v>
      </c>
      <c r="G51" s="156">
        <v>4.492</v>
      </c>
      <c r="H51" s="156">
        <v>4.2290000000000001</v>
      </c>
      <c r="I51" s="155">
        <v>7.5049999999999999</v>
      </c>
      <c r="J51" s="150">
        <f t="shared" si="0"/>
        <v>0.44926201641266122</v>
      </c>
    </row>
    <row r="52" spans="2:10" x14ac:dyDescent="0.2">
      <c r="B52" s="158" t="s">
        <v>1241</v>
      </c>
      <c r="C52" s="156">
        <v>997.85799999999995</v>
      </c>
      <c r="D52" s="157">
        <v>5.0999999999999997E-2</v>
      </c>
      <c r="E52" s="157">
        <v>1.6E-2</v>
      </c>
      <c r="F52" s="156">
        <v>1003.87</v>
      </c>
      <c r="G52" s="156">
        <v>0.77200000000000002</v>
      </c>
      <c r="H52" s="156">
        <v>0.90300000000000002</v>
      </c>
      <c r="I52" s="155">
        <v>1.048</v>
      </c>
      <c r="J52" s="150">
        <f t="shared" si="0"/>
        <v>0.29421746776084412</v>
      </c>
    </row>
    <row r="53" spans="2:10" x14ac:dyDescent="0.2">
      <c r="B53" s="158" t="s">
        <v>1242</v>
      </c>
      <c r="C53" s="156">
        <v>188.69499999999999</v>
      </c>
      <c r="D53" s="157">
        <v>8.0000000000000002E-3</v>
      </c>
      <c r="E53" s="157">
        <v>1E-3</v>
      </c>
      <c r="F53" s="156">
        <v>189.273</v>
      </c>
      <c r="G53" s="156">
        <v>0.26700000000000002</v>
      </c>
      <c r="H53" s="156">
        <v>0.254</v>
      </c>
      <c r="I53" s="155">
        <v>6.7000000000000004E-2</v>
      </c>
      <c r="J53" s="150">
        <f t="shared" si="0"/>
        <v>5.5472743259085584E-2</v>
      </c>
    </row>
    <row r="54" spans="2:10" x14ac:dyDescent="0.2">
      <c r="B54" s="158" t="s">
        <v>1243</v>
      </c>
      <c r="C54" s="156">
        <v>811.31799999999998</v>
      </c>
      <c r="D54" s="157">
        <v>4.8000000000000001E-2</v>
      </c>
      <c r="E54" s="157">
        <v>1.2E-2</v>
      </c>
      <c r="F54" s="156">
        <v>816.04100000000005</v>
      </c>
      <c r="G54" s="156">
        <v>0.35699999999999998</v>
      </c>
      <c r="H54" s="156">
        <v>0.39500000000000002</v>
      </c>
      <c r="I54" s="155">
        <v>0.95399999999999996</v>
      </c>
      <c r="J54" s="150">
        <f t="shared" si="0"/>
        <v>0.23916793669402114</v>
      </c>
    </row>
    <row r="55" spans="2:10" x14ac:dyDescent="0.2">
      <c r="B55" s="158" t="s">
        <v>1244</v>
      </c>
      <c r="C55" s="156">
        <v>1812.703</v>
      </c>
      <c r="D55" s="157">
        <v>0.185</v>
      </c>
      <c r="E55" s="157">
        <v>2.7E-2</v>
      </c>
      <c r="F55" s="156">
        <v>1824.905</v>
      </c>
      <c r="G55" s="156">
        <v>1.708</v>
      </c>
      <c r="H55" s="156">
        <v>1.6719999999999999</v>
      </c>
      <c r="I55" s="155">
        <v>1.7330000000000001</v>
      </c>
      <c r="J55" s="150">
        <f t="shared" si="0"/>
        <v>0.53484906213364591</v>
      </c>
    </row>
    <row r="56" spans="2:10" x14ac:dyDescent="0.2">
      <c r="B56" s="158" t="s">
        <v>1245</v>
      </c>
      <c r="C56" s="156">
        <v>1195.5530000000001</v>
      </c>
      <c r="D56" s="157">
        <v>0.129</v>
      </c>
      <c r="E56" s="157">
        <v>1.9E-2</v>
      </c>
      <c r="F56" s="156">
        <v>1204.056</v>
      </c>
      <c r="G56" s="156">
        <v>0.75900000000000001</v>
      </c>
      <c r="H56" s="156">
        <v>0.89</v>
      </c>
      <c r="I56" s="155">
        <v>0.30099999999999999</v>
      </c>
      <c r="J56" s="150">
        <f t="shared" si="0"/>
        <v>0.35288862837045726</v>
      </c>
    </row>
    <row r="57" spans="2:10" x14ac:dyDescent="0.2">
      <c r="B57" s="158" t="s">
        <v>1246</v>
      </c>
      <c r="C57" s="156">
        <v>1954.3009999999999</v>
      </c>
      <c r="D57" s="157">
        <v>0.189</v>
      </c>
      <c r="E57" s="157">
        <v>3.2000000000000001E-2</v>
      </c>
      <c r="F57" s="156">
        <v>1968.0840000000001</v>
      </c>
      <c r="G57" s="156">
        <v>1.458</v>
      </c>
      <c r="H57" s="156">
        <v>1.4419999999999999</v>
      </c>
      <c r="I57" s="155">
        <v>1.905</v>
      </c>
      <c r="J57" s="150">
        <f t="shared" si="0"/>
        <v>0.57681242672919109</v>
      </c>
    </row>
    <row r="58" spans="2:10" x14ac:dyDescent="0.2">
      <c r="B58" s="158" t="s">
        <v>1247</v>
      </c>
      <c r="C58" s="156">
        <v>878.85</v>
      </c>
      <c r="D58" s="157">
        <v>4.9000000000000002E-2</v>
      </c>
      <c r="E58" s="157">
        <v>7.0000000000000001E-3</v>
      </c>
      <c r="F58" s="156">
        <v>882.13400000000001</v>
      </c>
      <c r="G58" s="156">
        <v>0.82</v>
      </c>
      <c r="H58" s="156">
        <v>0.89600000000000002</v>
      </c>
      <c r="I58" s="155">
        <v>0.72299999999999998</v>
      </c>
      <c r="J58" s="150">
        <f t="shared" si="0"/>
        <v>0.25853868698710436</v>
      </c>
    </row>
    <row r="59" spans="2:10" x14ac:dyDescent="0.2">
      <c r="B59" s="158" t="s">
        <v>1248</v>
      </c>
      <c r="C59" s="156">
        <v>821.327</v>
      </c>
      <c r="D59" s="157">
        <v>0.10100000000000001</v>
      </c>
      <c r="E59" s="157">
        <v>1.2999999999999999E-2</v>
      </c>
      <c r="F59" s="156">
        <v>827.51400000000001</v>
      </c>
      <c r="G59" s="156">
        <v>0.52300000000000002</v>
      </c>
      <c r="H59" s="156">
        <v>0.45</v>
      </c>
      <c r="I59" s="155">
        <v>0.22700000000000001</v>
      </c>
      <c r="J59" s="150">
        <f t="shared" si="0"/>
        <v>0.24253048065650645</v>
      </c>
    </row>
    <row r="60" spans="2:10" x14ac:dyDescent="0.2">
      <c r="B60" s="158" t="s">
        <v>1249</v>
      </c>
      <c r="C60" s="156">
        <v>1012.682</v>
      </c>
      <c r="D60" s="157">
        <v>7.8E-2</v>
      </c>
      <c r="E60" s="157">
        <v>1.7000000000000001E-2</v>
      </c>
      <c r="F60" s="156">
        <v>1019.454</v>
      </c>
      <c r="G60" s="156">
        <v>0.621</v>
      </c>
      <c r="H60" s="156">
        <v>0.67400000000000004</v>
      </c>
      <c r="I60" s="155">
        <v>0.94399999999999995</v>
      </c>
      <c r="J60" s="150">
        <f t="shared" si="0"/>
        <v>0.29878487690504102</v>
      </c>
    </row>
    <row r="61" spans="2:10" x14ac:dyDescent="0.2">
      <c r="B61" s="158" t="s">
        <v>1250</v>
      </c>
      <c r="C61" s="156">
        <v>336.964</v>
      </c>
      <c r="D61" s="157">
        <v>0.16400000000000001</v>
      </c>
      <c r="E61" s="157">
        <v>2.3E-2</v>
      </c>
      <c r="F61" s="156">
        <v>347.62</v>
      </c>
      <c r="G61" s="156">
        <v>0.57799999999999996</v>
      </c>
      <c r="H61" s="156">
        <v>0.56599999999999995</v>
      </c>
      <c r="I61" s="155">
        <v>0.28899999999999998</v>
      </c>
      <c r="J61" s="150">
        <f t="shared" si="0"/>
        <v>0.10188159437280188</v>
      </c>
    </row>
    <row r="62" spans="2:10" x14ac:dyDescent="0.2">
      <c r="B62" s="158" t="s">
        <v>1251</v>
      </c>
      <c r="C62" s="156">
        <v>1099.854</v>
      </c>
      <c r="D62" s="157">
        <v>6.3E-2</v>
      </c>
      <c r="E62" s="157">
        <v>1.6E-2</v>
      </c>
      <c r="F62" s="156">
        <v>1106.0150000000001</v>
      </c>
      <c r="G62" s="156">
        <v>0.83199999999999996</v>
      </c>
      <c r="H62" s="156">
        <v>0.82399999999999995</v>
      </c>
      <c r="I62" s="155">
        <v>1.5389999999999999</v>
      </c>
      <c r="J62" s="150">
        <f t="shared" si="0"/>
        <v>0.3241544548651818</v>
      </c>
    </row>
    <row r="63" spans="2:10" x14ac:dyDescent="0.2">
      <c r="B63" s="158" t="s">
        <v>1252</v>
      </c>
      <c r="C63" s="156">
        <v>1012.67</v>
      </c>
      <c r="D63" s="157">
        <v>0.123</v>
      </c>
      <c r="E63" s="157">
        <v>1.7999999999999999E-2</v>
      </c>
      <c r="F63" s="156">
        <v>1020.283</v>
      </c>
      <c r="G63" s="156">
        <v>0.67</v>
      </c>
      <c r="H63" s="156">
        <v>0.66100000000000003</v>
      </c>
      <c r="I63" s="155">
        <v>0.58199999999999996</v>
      </c>
      <c r="J63" s="150">
        <f t="shared" si="0"/>
        <v>0.29902784290738571</v>
      </c>
    </row>
    <row r="64" spans="2:10" x14ac:dyDescent="0.2">
      <c r="B64" s="158" t="s">
        <v>1253</v>
      </c>
      <c r="C64" s="156">
        <v>1687.742</v>
      </c>
      <c r="D64" s="157">
        <v>0.122</v>
      </c>
      <c r="E64" s="157">
        <v>2.8000000000000001E-2</v>
      </c>
      <c r="F64" s="156">
        <v>1698.9549999999999</v>
      </c>
      <c r="G64" s="156">
        <v>1.4570000000000001</v>
      </c>
      <c r="H64" s="156">
        <v>1.4239999999999999</v>
      </c>
      <c r="I64" s="155">
        <v>2.5449999999999999</v>
      </c>
      <c r="J64" s="150">
        <f t="shared" si="0"/>
        <v>0.49793522860492379</v>
      </c>
    </row>
    <row r="65" spans="2:10" x14ac:dyDescent="0.2">
      <c r="B65" s="158" t="s">
        <v>1254</v>
      </c>
      <c r="C65" s="156">
        <v>940.71600000000001</v>
      </c>
      <c r="D65" s="157">
        <v>2.9000000000000001E-2</v>
      </c>
      <c r="E65" s="157">
        <v>6.0000000000000001E-3</v>
      </c>
      <c r="F65" s="156">
        <v>943.029</v>
      </c>
      <c r="G65" s="156">
        <v>0.42799999999999999</v>
      </c>
      <c r="H65" s="156">
        <v>0.49399999999999999</v>
      </c>
      <c r="I65" s="155">
        <v>0.16200000000000001</v>
      </c>
      <c r="J65" s="150">
        <f t="shared" si="0"/>
        <v>0.27638599062133645</v>
      </c>
    </row>
    <row r="66" spans="2:10" x14ac:dyDescent="0.2">
      <c r="B66" s="158" t="s">
        <v>1255</v>
      </c>
      <c r="C66" s="156">
        <v>1251.0219999999999</v>
      </c>
      <c r="D66" s="157">
        <v>0.13500000000000001</v>
      </c>
      <c r="E66" s="157">
        <v>0.02</v>
      </c>
      <c r="F66" s="156">
        <v>1260.078</v>
      </c>
      <c r="G66" s="156">
        <v>1.123</v>
      </c>
      <c r="H66" s="156">
        <v>1.147</v>
      </c>
      <c r="I66" s="155">
        <v>1.022</v>
      </c>
      <c r="J66" s="150">
        <f t="shared" si="0"/>
        <v>0.36930773739742084</v>
      </c>
    </row>
    <row r="67" spans="2:10" x14ac:dyDescent="0.2">
      <c r="B67" s="158" t="s">
        <v>1256</v>
      </c>
      <c r="C67" s="156">
        <v>867.44100000000003</v>
      </c>
      <c r="D67" s="157">
        <v>0.08</v>
      </c>
      <c r="E67" s="157">
        <v>1.0999999999999999E-2</v>
      </c>
      <c r="F67" s="156">
        <v>872.65800000000002</v>
      </c>
      <c r="G67" s="156">
        <v>0.55800000000000005</v>
      </c>
      <c r="H67" s="156">
        <v>0.56999999999999995</v>
      </c>
      <c r="I67" s="155">
        <v>0.44500000000000001</v>
      </c>
      <c r="J67" s="150">
        <f t="shared" si="0"/>
        <v>0.25576143024618991</v>
      </c>
    </row>
    <row r="68" spans="2:10" x14ac:dyDescent="0.2">
      <c r="B68" s="158" t="s">
        <v>1257</v>
      </c>
      <c r="C68" s="156">
        <v>1663.7539999999999</v>
      </c>
      <c r="D68" s="157">
        <v>0.13</v>
      </c>
      <c r="E68" s="157">
        <v>2.7E-2</v>
      </c>
      <c r="F68" s="156">
        <v>1674.8230000000001</v>
      </c>
      <c r="G68" s="156">
        <v>1.98</v>
      </c>
      <c r="H68" s="156">
        <v>1.899</v>
      </c>
      <c r="I68" s="155">
        <v>2.3940000000000001</v>
      </c>
      <c r="J68" s="150">
        <f t="shared" si="0"/>
        <v>0.49086254396248541</v>
      </c>
    </row>
    <row r="69" spans="2:10" x14ac:dyDescent="0.2">
      <c r="B69" s="158" t="s">
        <v>1258</v>
      </c>
      <c r="C69" s="156">
        <v>1281.153</v>
      </c>
      <c r="D69" s="157">
        <v>0.13900000000000001</v>
      </c>
      <c r="E69" s="157">
        <v>2.1000000000000001E-2</v>
      </c>
      <c r="F69" s="156">
        <v>1290.7090000000001</v>
      </c>
      <c r="G69" s="156">
        <v>1.129</v>
      </c>
      <c r="H69" s="156">
        <v>1.1240000000000001</v>
      </c>
      <c r="I69" s="155">
        <v>2.7709999999999999</v>
      </c>
      <c r="J69" s="150">
        <f t="shared" si="0"/>
        <v>0.37828516998827671</v>
      </c>
    </row>
    <row r="70" spans="2:10" x14ac:dyDescent="0.2">
      <c r="B70" s="158" t="s">
        <v>1259</v>
      </c>
      <c r="C70" s="156">
        <v>310.56400000000002</v>
      </c>
      <c r="D70" s="157">
        <v>0.10100000000000001</v>
      </c>
      <c r="E70" s="157">
        <v>1.2999999999999999E-2</v>
      </c>
      <c r="F70" s="156">
        <v>316.79199999999997</v>
      </c>
      <c r="G70" s="156">
        <v>0.23599999999999999</v>
      </c>
      <c r="H70" s="156">
        <v>0.22700000000000001</v>
      </c>
      <c r="I70" s="155">
        <v>7.9000000000000001E-2</v>
      </c>
      <c r="J70" s="150">
        <f t="shared" si="0"/>
        <v>9.2846424384525186E-2</v>
      </c>
    </row>
    <row r="71" spans="2:10" x14ac:dyDescent="0.2">
      <c r="B71" s="158" t="s">
        <v>1260</v>
      </c>
      <c r="C71" s="156">
        <v>557.822</v>
      </c>
      <c r="D71" s="157">
        <v>3.4000000000000002E-2</v>
      </c>
      <c r="E71" s="157">
        <v>4.0000000000000001E-3</v>
      </c>
      <c r="F71" s="156">
        <v>559.82399999999996</v>
      </c>
      <c r="G71" s="156">
        <v>0.23499999999999999</v>
      </c>
      <c r="H71" s="156">
        <v>0.26800000000000002</v>
      </c>
      <c r="I71" s="155">
        <v>5.3999999999999999E-2</v>
      </c>
      <c r="J71" s="150">
        <f t="shared" si="0"/>
        <v>0.16407502930832357</v>
      </c>
    </row>
    <row r="72" spans="2:10" x14ac:dyDescent="0.2">
      <c r="B72" s="158" t="s">
        <v>1261</v>
      </c>
      <c r="C72" s="156">
        <v>1572.7860000000001</v>
      </c>
      <c r="D72" s="157">
        <v>0.15</v>
      </c>
      <c r="E72" s="157">
        <v>2.1999999999999999E-2</v>
      </c>
      <c r="F72" s="156">
        <v>1582.6020000000001</v>
      </c>
      <c r="G72" s="156">
        <v>2.3530000000000002</v>
      </c>
      <c r="H72" s="156">
        <v>2.363</v>
      </c>
      <c r="I72" s="155">
        <v>0.502</v>
      </c>
      <c r="J72" s="150">
        <f t="shared" ref="J72:J90" si="1">F72/3.412/1000</f>
        <v>0.46383411488862841</v>
      </c>
    </row>
    <row r="73" spans="2:10" x14ac:dyDescent="0.2">
      <c r="B73" s="158" t="s">
        <v>1262</v>
      </c>
      <c r="C73" s="156">
        <v>769.91200000000003</v>
      </c>
      <c r="D73" s="157">
        <v>2.7E-2</v>
      </c>
      <c r="E73" s="157">
        <v>3.0000000000000001E-3</v>
      </c>
      <c r="F73" s="156">
        <v>771.53899999999999</v>
      </c>
      <c r="G73" s="156">
        <v>0.47699999999999998</v>
      </c>
      <c r="H73" s="156">
        <v>0.52500000000000002</v>
      </c>
      <c r="I73" s="155">
        <v>0.159</v>
      </c>
      <c r="J73" s="150">
        <f t="shared" si="1"/>
        <v>0.22612514654161783</v>
      </c>
    </row>
    <row r="74" spans="2:10" ht="15" x14ac:dyDescent="0.25">
      <c r="B74" s="163" t="s">
        <v>1263</v>
      </c>
      <c r="C74" s="161">
        <v>464.02</v>
      </c>
      <c r="D74" s="162">
        <v>3.1E-2</v>
      </c>
      <c r="E74" s="162">
        <v>4.0000000000000001E-3</v>
      </c>
      <c r="F74" s="161">
        <v>465.87599999999998</v>
      </c>
      <c r="G74" s="161">
        <v>0.34100000000000003</v>
      </c>
      <c r="H74" s="161">
        <v>0.38300000000000001</v>
      </c>
      <c r="I74" s="160">
        <v>0.13700000000000001</v>
      </c>
      <c r="J74" s="159">
        <f t="shared" si="1"/>
        <v>0.13654044548651817</v>
      </c>
    </row>
    <row r="75" spans="2:10" x14ac:dyDescent="0.2">
      <c r="B75" s="158" t="s">
        <v>1264</v>
      </c>
      <c r="C75" s="156">
        <v>1465.96</v>
      </c>
      <c r="D75" s="157">
        <v>0.125</v>
      </c>
      <c r="E75" s="157">
        <v>2.1999999999999999E-2</v>
      </c>
      <c r="F75" s="156">
        <v>1475.3340000000001</v>
      </c>
      <c r="G75" s="156">
        <v>1.0069999999999999</v>
      </c>
      <c r="H75" s="156">
        <v>1.0069999999999999</v>
      </c>
      <c r="I75" s="155">
        <v>1.786</v>
      </c>
      <c r="J75" s="150">
        <f t="shared" si="1"/>
        <v>0.43239566236811261</v>
      </c>
    </row>
    <row r="76" spans="2:10" x14ac:dyDescent="0.2">
      <c r="B76" s="158" t="s">
        <v>1265</v>
      </c>
      <c r="C76" s="156">
        <v>1043.7159999999999</v>
      </c>
      <c r="D76" s="157">
        <v>6.3E-2</v>
      </c>
      <c r="E76" s="157">
        <v>1.0999999999999999E-2</v>
      </c>
      <c r="F76" s="156">
        <v>1048.3109999999999</v>
      </c>
      <c r="G76" s="156">
        <v>0.69099999999999995</v>
      </c>
      <c r="H76" s="156">
        <v>0.751</v>
      </c>
      <c r="I76" s="155">
        <v>1.276</v>
      </c>
      <c r="J76" s="150">
        <f t="shared" si="1"/>
        <v>0.30724237983587332</v>
      </c>
    </row>
    <row r="77" spans="2:10" x14ac:dyDescent="0.2">
      <c r="B77" s="158" t="s">
        <v>1266</v>
      </c>
      <c r="C77" s="156">
        <v>305.89100000000002</v>
      </c>
      <c r="D77" s="157">
        <v>0.02</v>
      </c>
      <c r="E77" s="157">
        <v>3.0000000000000001E-3</v>
      </c>
      <c r="F77" s="156">
        <v>307.16199999999998</v>
      </c>
      <c r="G77" s="156">
        <v>0.35199999999999998</v>
      </c>
      <c r="H77" s="156">
        <v>0.44800000000000001</v>
      </c>
      <c r="I77" s="155">
        <v>0.13900000000000001</v>
      </c>
      <c r="J77" s="150">
        <f t="shared" si="1"/>
        <v>9.0024032825322398E-2</v>
      </c>
    </row>
    <row r="78" spans="2:10" x14ac:dyDescent="0.2">
      <c r="B78" s="158" t="s">
        <v>1267</v>
      </c>
      <c r="C78" s="156">
        <v>855.44399999999996</v>
      </c>
      <c r="D78" s="157">
        <v>5.1999999999999998E-2</v>
      </c>
      <c r="E78" s="157">
        <v>1.0999999999999999E-2</v>
      </c>
      <c r="F78" s="156">
        <v>860.04600000000005</v>
      </c>
      <c r="G78" s="156">
        <v>0.82099999999999995</v>
      </c>
      <c r="H78" s="156">
        <v>0.76200000000000001</v>
      </c>
      <c r="I78" s="155">
        <v>0.95899999999999996</v>
      </c>
      <c r="J78" s="150">
        <f t="shared" si="1"/>
        <v>0.25206506447831184</v>
      </c>
    </row>
    <row r="79" spans="2:10" x14ac:dyDescent="0.2">
      <c r="B79" s="158" t="s">
        <v>1268</v>
      </c>
      <c r="C79" s="156">
        <v>870.822</v>
      </c>
      <c r="D79" s="157">
        <v>1.7000000000000001E-2</v>
      </c>
      <c r="E79" s="157">
        <v>2E-3</v>
      </c>
      <c r="F79" s="156">
        <v>871.69</v>
      </c>
      <c r="G79" s="156">
        <v>0.24399999999999999</v>
      </c>
      <c r="H79" s="156">
        <v>0.19500000000000001</v>
      </c>
      <c r="I79" s="155">
        <v>2.3E-2</v>
      </c>
      <c r="J79" s="150">
        <f t="shared" si="1"/>
        <v>0.25547772567409144</v>
      </c>
    </row>
    <row r="80" spans="2:10" x14ac:dyDescent="0.2">
      <c r="B80" s="158" t="s">
        <v>1269</v>
      </c>
      <c r="C80" s="156">
        <v>629.428</v>
      </c>
      <c r="D80" s="157">
        <v>2.5000000000000001E-2</v>
      </c>
      <c r="E80" s="157">
        <v>8.9999999999999993E-3</v>
      </c>
      <c r="F80" s="156">
        <v>632.80200000000002</v>
      </c>
      <c r="G80" s="156">
        <v>0.28199999999999997</v>
      </c>
      <c r="H80" s="156">
        <v>0.311</v>
      </c>
      <c r="I80" s="155">
        <v>0.24</v>
      </c>
      <c r="J80" s="150">
        <f t="shared" si="1"/>
        <v>0.18546365767878079</v>
      </c>
    </row>
    <row r="81" spans="2:10" x14ac:dyDescent="0.2">
      <c r="B81" s="158" t="s">
        <v>1270</v>
      </c>
      <c r="C81" s="156">
        <v>513.31600000000003</v>
      </c>
      <c r="D81" s="157">
        <v>4.9000000000000002E-2</v>
      </c>
      <c r="E81" s="157">
        <v>7.0000000000000001E-3</v>
      </c>
      <c r="F81" s="156">
        <v>516.56200000000001</v>
      </c>
      <c r="G81" s="156">
        <v>0.20699999999999999</v>
      </c>
      <c r="H81" s="156">
        <v>0.23400000000000001</v>
      </c>
      <c r="I81" s="155">
        <v>0.14199999999999999</v>
      </c>
      <c r="J81" s="150">
        <f t="shared" si="1"/>
        <v>0.15139566236811253</v>
      </c>
    </row>
    <row r="82" spans="2:10" x14ac:dyDescent="0.2">
      <c r="B82" s="158" t="s">
        <v>1271</v>
      </c>
      <c r="C82" s="156">
        <v>992.27099999999996</v>
      </c>
      <c r="D82" s="157">
        <v>7.3999999999999996E-2</v>
      </c>
      <c r="E82" s="157">
        <v>1.4999999999999999E-2</v>
      </c>
      <c r="F82" s="156">
        <v>998.40700000000004</v>
      </c>
      <c r="G82" s="156">
        <v>0.51300000000000001</v>
      </c>
      <c r="H82" s="156">
        <v>0.56200000000000006</v>
      </c>
      <c r="I82" s="155">
        <v>0.80300000000000005</v>
      </c>
      <c r="J82" s="150">
        <f t="shared" si="1"/>
        <v>0.29261635404454867</v>
      </c>
    </row>
    <row r="83" spans="2:10" x14ac:dyDescent="0.2">
      <c r="B83" s="158" t="s">
        <v>1272</v>
      </c>
      <c r="C83" s="156">
        <v>1049.527</v>
      </c>
      <c r="D83" s="157">
        <v>7.9000000000000001E-2</v>
      </c>
      <c r="E83" s="157">
        <v>1.0999999999999999E-2</v>
      </c>
      <c r="F83" s="156">
        <v>1054.6020000000001</v>
      </c>
      <c r="G83" s="156">
        <v>0.60499999999999998</v>
      </c>
      <c r="H83" s="156">
        <v>0.63300000000000001</v>
      </c>
      <c r="I83" s="155">
        <v>1.0900000000000001</v>
      </c>
      <c r="J83" s="150">
        <f t="shared" si="1"/>
        <v>0.30908616647127785</v>
      </c>
    </row>
    <row r="84" spans="2:10" x14ac:dyDescent="0.2">
      <c r="B84" s="158" t="s">
        <v>1273</v>
      </c>
      <c r="C84" s="156">
        <v>1627.3720000000001</v>
      </c>
      <c r="D84" s="157">
        <v>0.16600000000000001</v>
      </c>
      <c r="E84" s="157">
        <v>2.4E-2</v>
      </c>
      <c r="F84" s="156">
        <v>1638.384</v>
      </c>
      <c r="G84" s="156">
        <v>1.7769999999999999</v>
      </c>
      <c r="H84" s="156">
        <v>1.6759999999999999</v>
      </c>
      <c r="I84" s="155">
        <v>0.878</v>
      </c>
      <c r="J84" s="150">
        <f t="shared" si="1"/>
        <v>0.48018288393903868</v>
      </c>
    </row>
    <row r="85" spans="2:10" x14ac:dyDescent="0.2">
      <c r="B85" s="158" t="s">
        <v>1274</v>
      </c>
      <c r="C85" s="156">
        <v>813.80200000000002</v>
      </c>
      <c r="D85" s="157">
        <v>8.3000000000000004E-2</v>
      </c>
      <c r="E85" s="157">
        <v>1.2E-2</v>
      </c>
      <c r="F85" s="156">
        <v>818.98</v>
      </c>
      <c r="G85" s="156">
        <v>0.55700000000000005</v>
      </c>
      <c r="H85" s="156">
        <v>0.55000000000000004</v>
      </c>
      <c r="I85" s="155">
        <v>0.255</v>
      </c>
      <c r="J85" s="150">
        <f t="shared" si="1"/>
        <v>0.24002930832356389</v>
      </c>
    </row>
    <row r="86" spans="2:10" x14ac:dyDescent="0.2">
      <c r="B86" s="158" t="s">
        <v>1275</v>
      </c>
      <c r="C86" s="156">
        <v>56.89</v>
      </c>
      <c r="D86" s="157">
        <v>0.161</v>
      </c>
      <c r="E86" s="157">
        <v>2.1000000000000001E-2</v>
      </c>
      <c r="F86" s="156">
        <v>66.825000000000003</v>
      </c>
      <c r="G86" s="156">
        <v>0.35599999999999998</v>
      </c>
      <c r="H86" s="156">
        <v>0.47299999999999998</v>
      </c>
      <c r="I86" s="155">
        <v>1.2999999999999999E-2</v>
      </c>
      <c r="J86" s="150">
        <f t="shared" si="1"/>
        <v>1.9585287221570925E-2</v>
      </c>
    </row>
    <row r="87" spans="2:10" ht="15" x14ac:dyDescent="0.25">
      <c r="B87" s="163" t="s">
        <v>420</v>
      </c>
      <c r="C87" s="161">
        <v>186.84399999999999</v>
      </c>
      <c r="D87" s="162">
        <v>0.01</v>
      </c>
      <c r="E87" s="162">
        <v>3.0000000000000001E-3</v>
      </c>
      <c r="F87" s="161">
        <v>187.93</v>
      </c>
      <c r="G87" s="161">
        <v>0.14899999999999999</v>
      </c>
      <c r="H87" s="161">
        <v>0.17299999999999999</v>
      </c>
      <c r="I87" s="160">
        <v>0.05</v>
      </c>
      <c r="J87" s="159">
        <f t="shared" si="1"/>
        <v>5.5079132473622512E-2</v>
      </c>
    </row>
    <row r="88" spans="2:10" x14ac:dyDescent="0.2">
      <c r="B88" s="158" t="s">
        <v>1276</v>
      </c>
      <c r="C88" s="156">
        <v>1388.88</v>
      </c>
      <c r="D88" s="157">
        <v>7.1999999999999995E-2</v>
      </c>
      <c r="E88" s="157">
        <v>0.02</v>
      </c>
      <c r="F88" s="156">
        <v>1396.49</v>
      </c>
      <c r="G88" s="156">
        <v>0.67300000000000004</v>
      </c>
      <c r="H88" s="156">
        <v>0.69</v>
      </c>
      <c r="I88" s="155">
        <v>0.504</v>
      </c>
      <c r="J88" s="150">
        <f t="shared" si="1"/>
        <v>0.40928780773739742</v>
      </c>
    </row>
    <row r="89" spans="2:10" x14ac:dyDescent="0.2">
      <c r="B89" s="158" t="s">
        <v>1277</v>
      </c>
      <c r="C89" s="156">
        <v>1975.7570000000001</v>
      </c>
      <c r="D89" s="157">
        <v>0.21099999999999999</v>
      </c>
      <c r="E89" s="157">
        <v>3.3000000000000002E-2</v>
      </c>
      <c r="F89" s="156">
        <v>1990.559</v>
      </c>
      <c r="G89" s="156">
        <v>1.33</v>
      </c>
      <c r="H89" s="156">
        <v>1.2889999999999999</v>
      </c>
      <c r="I89" s="155">
        <v>1.181</v>
      </c>
      <c r="J89" s="150">
        <f t="shared" si="1"/>
        <v>0.58339947245017587</v>
      </c>
    </row>
    <row r="90" spans="2:10" ht="15" thickBot="1" x14ac:dyDescent="0.25">
      <c r="B90" s="154" t="s">
        <v>1278</v>
      </c>
      <c r="C90" s="152">
        <v>2026.26</v>
      </c>
      <c r="D90" s="153">
        <v>0.223</v>
      </c>
      <c r="E90" s="153">
        <v>3.2000000000000001E-2</v>
      </c>
      <c r="F90" s="152">
        <v>2040.9670000000001</v>
      </c>
      <c r="G90" s="152">
        <v>1.58</v>
      </c>
      <c r="H90" s="152">
        <v>1.6140000000000001</v>
      </c>
      <c r="I90" s="151">
        <v>1.3939999999999999</v>
      </c>
      <c r="J90" s="150">
        <f t="shared" si="1"/>
        <v>0.59817321219226272</v>
      </c>
    </row>
    <row r="91" spans="2:10" ht="15.75" thickTop="1" thickBot="1" x14ac:dyDescent="0.25">
      <c r="B91" s="197" t="s">
        <v>1227</v>
      </c>
      <c r="C91" s="148">
        <v>998.44299999999998</v>
      </c>
      <c r="D91" s="149">
        <v>0.08</v>
      </c>
      <c r="E91" s="149">
        <v>1.2999999999999999E-2</v>
      </c>
      <c r="F91" s="148">
        <v>1004.167</v>
      </c>
      <c r="G91" s="148">
        <v>0.72099999999999997</v>
      </c>
      <c r="H91" s="148">
        <v>0.71899999999999997</v>
      </c>
      <c r="I91" s="147">
        <v>0.79800000000000004</v>
      </c>
    </row>
    <row r="92" spans="2:10" ht="15" thickTop="1" x14ac:dyDescent="0.2">
      <c r="B92" s="146"/>
      <c r="C92" s="144"/>
      <c r="D92" s="145"/>
      <c r="E92" s="145"/>
      <c r="F92" s="144"/>
      <c r="G92" s="144"/>
      <c r="H92" s="143" t="s">
        <v>1228</v>
      </c>
      <c r="I92" s="142">
        <v>43146</v>
      </c>
    </row>
  </sheetData>
  <mergeCells count="10">
    <mergeCell ref="B36:I36"/>
    <mergeCell ref="B37:B39"/>
    <mergeCell ref="C37:I37"/>
    <mergeCell ref="C38:I38"/>
    <mergeCell ref="B2:R2"/>
    <mergeCell ref="D3:J3"/>
    <mergeCell ref="K3:Q3"/>
    <mergeCell ref="D4:J4"/>
    <mergeCell ref="K4:Q4"/>
    <mergeCell ref="B32:C32"/>
  </mergeCells>
  <dataValidations count="1">
    <dataValidation type="list" allowBlank="1" showInputMessage="1" showErrorMessage="1" sqref="U6" xr:uid="{DB1D967E-27B3-4ED4-B2B3-39700CB2C70B}">
      <formula1>$C$6:$C$31</formula1>
    </dataValidation>
  </dataValidations>
  <printOptions horizontalCentered="1" verticalCentered="1"/>
  <pageMargins left="0.7" right="0.7" top="0.75" bottom="0.75" header="0.3" footer="0.3"/>
  <pageSetup scale="86"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5AFB6-705A-4B89-8708-D14A09C93042}">
  <dimension ref="A1:CO52"/>
  <sheetViews>
    <sheetView workbookViewId="0"/>
  </sheetViews>
  <sheetFormatPr defaultColWidth="9.140625" defaultRowHeight="12.75" x14ac:dyDescent="0.2"/>
  <cols>
    <col min="1" max="1" width="14" style="208" customWidth="1"/>
    <col min="2" max="5" width="9.140625" style="204"/>
    <col min="6" max="6" width="10.7109375" style="204" customWidth="1"/>
    <col min="7" max="7" width="9.140625" style="204"/>
    <col min="8" max="8" width="24" style="204" customWidth="1"/>
    <col min="9" max="9" width="19.28515625" style="204" customWidth="1"/>
    <col min="10" max="10" width="10.7109375" style="204" bestFit="1" customWidth="1"/>
    <col min="11" max="11" width="13.85546875" style="204" bestFit="1" customWidth="1"/>
    <col min="12" max="12" width="10.7109375" style="204" bestFit="1" customWidth="1"/>
    <col min="13" max="13" width="13.5703125" style="204" bestFit="1" customWidth="1"/>
    <col min="14" max="14" width="10.7109375" style="204" bestFit="1" customWidth="1"/>
    <col min="15" max="15" width="11.5703125" style="204" customWidth="1"/>
    <col min="16" max="16" width="10.5703125" style="204" bestFit="1" customWidth="1"/>
    <col min="17" max="17" width="14.140625" style="204" customWidth="1"/>
    <col min="18" max="18" width="12.7109375" style="204" bestFit="1" customWidth="1"/>
    <col min="19" max="19" width="13.7109375" style="204" bestFit="1" customWidth="1"/>
    <col min="20" max="21" width="12.7109375" style="204" bestFit="1" customWidth="1"/>
    <col min="22" max="23" width="9.5703125" style="204" bestFit="1" customWidth="1"/>
    <col min="24" max="24" width="10.5703125" style="204" bestFit="1" customWidth="1"/>
    <col min="25" max="26" width="9.5703125" style="204" bestFit="1" customWidth="1"/>
    <col min="27" max="27" width="10.5703125" style="204" bestFit="1" customWidth="1"/>
    <col min="28" max="29" width="9.5703125" style="204" bestFit="1" customWidth="1"/>
    <col min="30" max="30" width="10.5703125" style="204" bestFit="1" customWidth="1"/>
    <col min="31" max="32" width="9.5703125" style="204" bestFit="1" customWidth="1"/>
    <col min="33" max="33" width="10.5703125" style="204" bestFit="1" customWidth="1"/>
    <col min="34" max="35" width="9.5703125" style="204" bestFit="1" customWidth="1"/>
    <col min="36" max="36" width="10.5703125" style="204" bestFit="1" customWidth="1"/>
    <col min="37" max="37" width="9.5703125" style="204" bestFit="1" customWidth="1"/>
    <col min="38" max="38" width="15.42578125" style="204" bestFit="1" customWidth="1"/>
    <col min="39" max="39" width="16.42578125" style="204" bestFit="1" customWidth="1"/>
    <col min="40" max="40" width="15.42578125" style="204" bestFit="1" customWidth="1"/>
    <col min="41" max="41" width="9.7109375" style="204" bestFit="1" customWidth="1"/>
    <col min="42" max="42" width="10.5703125" style="204" bestFit="1" customWidth="1"/>
    <col min="43" max="44" width="9.5703125" style="204" bestFit="1" customWidth="1"/>
    <col min="45" max="68" width="10.5703125" style="204" bestFit="1" customWidth="1"/>
    <col min="69" max="16384" width="9.140625" style="204"/>
  </cols>
  <sheetData>
    <row r="1" spans="1:93" x14ac:dyDescent="0.2">
      <c r="A1" s="415"/>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395"/>
      <c r="BF1" s="395"/>
      <c r="BG1" s="395"/>
      <c r="BH1" s="395"/>
      <c r="BI1" s="395"/>
      <c r="BJ1" s="395"/>
      <c r="BK1" s="395"/>
      <c r="BL1" s="395"/>
      <c r="BM1" s="395"/>
      <c r="BN1" s="395"/>
      <c r="BO1" s="395"/>
      <c r="BP1" s="395"/>
      <c r="BQ1" s="395"/>
      <c r="BR1" s="395"/>
      <c r="BS1" s="395"/>
      <c r="BT1" s="395"/>
      <c r="BU1" s="395"/>
      <c r="BV1" s="395"/>
      <c r="BW1" s="395"/>
      <c r="BX1" s="395"/>
      <c r="BY1" s="395"/>
      <c r="BZ1" s="395"/>
      <c r="CA1" s="395"/>
      <c r="CB1" s="395"/>
      <c r="CC1" s="395"/>
      <c r="CD1" s="395"/>
      <c r="CE1" s="395"/>
      <c r="CF1" s="395"/>
      <c r="CG1" s="395"/>
      <c r="CH1" s="395"/>
      <c r="CI1" s="395"/>
      <c r="CJ1" s="395"/>
      <c r="CK1" s="395"/>
      <c r="CL1" s="395"/>
      <c r="CM1" s="395"/>
      <c r="CN1" s="395"/>
      <c r="CO1" s="395"/>
    </row>
    <row r="2" spans="1:93" x14ac:dyDescent="0.2">
      <c r="A2" s="415"/>
      <c r="B2" s="395"/>
      <c r="C2" s="395"/>
      <c r="D2" s="395"/>
      <c r="E2" s="395"/>
      <c r="F2" s="395"/>
      <c r="G2" s="395"/>
      <c r="H2" s="395"/>
      <c r="I2" s="395"/>
      <c r="J2" s="395"/>
      <c r="K2" s="395"/>
      <c r="L2" s="395"/>
      <c r="M2" s="395"/>
      <c r="N2" s="395"/>
      <c r="O2" s="395"/>
      <c r="P2" s="395"/>
      <c r="Q2" s="395"/>
      <c r="R2" s="395"/>
      <c r="S2" s="395"/>
      <c r="T2" s="395"/>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c r="BF2" s="395"/>
      <c r="BG2" s="395"/>
      <c r="BH2" s="395"/>
      <c r="BI2" s="395"/>
      <c r="BJ2" s="395"/>
      <c r="BK2" s="395"/>
      <c r="BL2" s="395"/>
      <c r="BM2" s="395"/>
      <c r="BN2" s="395"/>
      <c r="BO2" s="395"/>
      <c r="BP2" s="395"/>
      <c r="BQ2" s="395"/>
      <c r="BR2" s="395"/>
      <c r="BS2" s="395"/>
      <c r="BT2" s="395"/>
      <c r="BU2" s="395"/>
      <c r="BV2" s="395"/>
      <c r="BW2" s="395"/>
      <c r="BX2" s="395"/>
      <c r="BY2" s="395"/>
      <c r="BZ2" s="395"/>
      <c r="CA2" s="395"/>
      <c r="CB2" s="395"/>
      <c r="CC2" s="395"/>
      <c r="CD2" s="395"/>
      <c r="CE2" s="395"/>
      <c r="CF2" s="395"/>
      <c r="CG2" s="395"/>
      <c r="CH2" s="395"/>
      <c r="CI2" s="395"/>
      <c r="CJ2" s="415"/>
      <c r="CK2" s="415"/>
      <c r="CL2" s="415"/>
      <c r="CM2" s="415"/>
      <c r="CN2" s="415"/>
      <c r="CO2" s="415"/>
    </row>
    <row r="3" spans="1:93" ht="24" customHeight="1" x14ac:dyDescent="0.2">
      <c r="A3" s="415"/>
      <c r="B3" s="173"/>
      <c r="C3" s="395"/>
      <c r="D3" s="173"/>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M3" s="395"/>
      <c r="AN3" s="395"/>
      <c r="AO3" s="395"/>
      <c r="AP3" s="395"/>
      <c r="AQ3" s="395"/>
      <c r="AR3" s="395"/>
      <c r="AS3" s="395"/>
      <c r="AT3" s="395"/>
      <c r="AU3" s="395"/>
      <c r="AV3" s="395"/>
      <c r="AW3" s="395"/>
      <c r="AX3" s="395"/>
      <c r="AY3" s="395"/>
      <c r="AZ3" s="395"/>
      <c r="BA3" s="395"/>
      <c r="BB3" s="395"/>
      <c r="BC3" s="395"/>
      <c r="BD3" s="395"/>
      <c r="BE3" s="395"/>
      <c r="BF3" s="395"/>
      <c r="BG3" s="395"/>
      <c r="BH3" s="395"/>
      <c r="BI3" s="395"/>
      <c r="BJ3" s="395"/>
      <c r="BK3" s="395"/>
      <c r="BL3" s="395"/>
      <c r="BM3" s="395"/>
      <c r="BN3" s="395"/>
      <c r="BO3" s="395"/>
      <c r="BP3" s="395"/>
      <c r="BQ3" s="395"/>
      <c r="BR3" s="395"/>
      <c r="BS3" s="395"/>
      <c r="BT3" s="395"/>
      <c r="BU3" s="395"/>
      <c r="BV3" s="395"/>
      <c r="BW3" s="395"/>
      <c r="BX3" s="395"/>
      <c r="BY3" s="395"/>
      <c r="BZ3" s="395"/>
      <c r="CA3" s="395"/>
      <c r="CB3" s="395"/>
      <c r="CC3" s="395"/>
      <c r="CD3" s="395"/>
      <c r="CE3" s="395"/>
      <c r="CF3" s="395"/>
      <c r="CG3" s="395"/>
      <c r="CH3" s="395"/>
      <c r="CI3" s="395"/>
      <c r="CJ3" s="415"/>
      <c r="CK3" s="415"/>
      <c r="CL3" s="415"/>
      <c r="CM3" s="415"/>
      <c r="CN3" s="415"/>
      <c r="CO3" s="415"/>
    </row>
    <row r="4" spans="1:93" ht="24" customHeight="1" x14ac:dyDescent="0.2">
      <c r="A4" s="415"/>
      <c r="B4" s="395"/>
      <c r="C4" s="395"/>
      <c r="D4" s="395"/>
      <c r="E4" s="395"/>
      <c r="F4" s="395"/>
      <c r="G4" s="395"/>
      <c r="H4" s="395"/>
      <c r="I4" s="395"/>
      <c r="J4" s="395"/>
      <c r="K4" s="395"/>
      <c r="L4" s="395"/>
      <c r="M4" s="395"/>
      <c r="N4" s="395"/>
      <c r="O4" s="395"/>
      <c r="P4" s="395"/>
      <c r="Q4" s="395"/>
      <c r="R4" s="395"/>
      <c r="S4" s="395"/>
      <c r="T4" s="395"/>
      <c r="U4" s="395"/>
      <c r="V4" s="395"/>
      <c r="W4" s="395"/>
      <c r="X4" s="395"/>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c r="BF4" s="395"/>
      <c r="BG4" s="395"/>
      <c r="BH4" s="395"/>
      <c r="BI4" s="395"/>
      <c r="BJ4" s="395"/>
      <c r="BK4" s="395"/>
      <c r="BL4" s="395"/>
      <c r="BM4" s="395"/>
      <c r="BN4" s="395"/>
      <c r="BO4" s="395"/>
      <c r="BP4" s="395"/>
      <c r="BQ4" s="395"/>
      <c r="BR4" s="395"/>
      <c r="BS4" s="395"/>
      <c r="BT4" s="395"/>
      <c r="BU4" s="395"/>
      <c r="BV4" s="395"/>
      <c r="BW4" s="395"/>
      <c r="BX4" s="395"/>
      <c r="BY4" s="395"/>
      <c r="BZ4" s="395"/>
      <c r="CA4" s="395"/>
      <c r="CB4" s="395"/>
      <c r="CC4" s="395"/>
      <c r="CD4" s="395"/>
      <c r="CE4" s="395"/>
      <c r="CF4" s="395"/>
      <c r="CG4" s="395"/>
      <c r="CH4" s="395"/>
      <c r="CI4" s="395"/>
      <c r="CJ4" s="395"/>
      <c r="CK4" s="395"/>
      <c r="CL4" s="395"/>
      <c r="CM4" s="395"/>
      <c r="CN4" s="395"/>
      <c r="CO4" s="395"/>
    </row>
    <row r="5" spans="1:93" ht="15" customHeight="1" x14ac:dyDescent="0.2">
      <c r="A5" s="415"/>
      <c r="B5" s="395"/>
      <c r="C5" s="395"/>
      <c r="D5" s="395"/>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row>
    <row r="6" spans="1:93" ht="24" customHeight="1" x14ac:dyDescent="0.2">
      <c r="A6" s="415"/>
      <c r="B6" s="395"/>
      <c r="C6" s="395"/>
      <c r="D6" s="395"/>
      <c r="E6" s="395"/>
      <c r="F6" s="395"/>
      <c r="G6" s="395"/>
      <c r="H6" s="395"/>
      <c r="I6" s="395"/>
      <c r="J6" s="395"/>
      <c r="K6" s="395"/>
      <c r="L6" s="395"/>
      <c r="M6" s="395"/>
      <c r="N6" s="395"/>
      <c r="O6" s="395"/>
      <c r="P6" s="395"/>
      <c r="Q6" s="395"/>
      <c r="R6" s="395"/>
      <c r="S6" s="395"/>
      <c r="T6" s="395"/>
      <c r="U6" s="395"/>
      <c r="V6" s="395"/>
      <c r="W6" s="395"/>
      <c r="X6" s="395"/>
      <c r="Y6" s="395"/>
      <c r="Z6" s="395"/>
      <c r="AA6" s="395"/>
      <c r="AB6" s="395"/>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5"/>
      <c r="BD6" s="395"/>
      <c r="BE6" s="395"/>
      <c r="BF6" s="395"/>
      <c r="BG6" s="395"/>
      <c r="BH6" s="395"/>
      <c r="BI6" s="395"/>
      <c r="BJ6" s="395"/>
      <c r="BK6" s="395"/>
      <c r="BL6" s="395"/>
      <c r="BM6" s="395"/>
      <c r="BN6" s="395"/>
      <c r="BO6" s="395"/>
      <c r="BP6" s="395"/>
      <c r="BQ6" s="395"/>
      <c r="BR6" s="395"/>
      <c r="BS6" s="395"/>
      <c r="BT6" s="395"/>
      <c r="BU6" s="395"/>
      <c r="BV6" s="395"/>
      <c r="BW6" s="395"/>
      <c r="BX6" s="395"/>
      <c r="BY6" s="395"/>
      <c r="BZ6" s="395"/>
      <c r="CA6" s="395"/>
      <c r="CB6" s="395"/>
      <c r="CC6" s="395"/>
      <c r="CD6" s="395"/>
      <c r="CE6" s="395"/>
      <c r="CF6" s="395"/>
      <c r="CG6" s="395"/>
      <c r="CH6" s="395"/>
      <c r="CI6" s="395"/>
      <c r="CJ6" s="395"/>
      <c r="CK6" s="395"/>
      <c r="CL6" s="395"/>
      <c r="CM6" s="395"/>
      <c r="CN6" s="395"/>
      <c r="CO6" s="395"/>
    </row>
    <row r="7" spans="1:93" x14ac:dyDescent="0.2">
      <c r="A7" s="415"/>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row>
    <row r="8" spans="1:93" x14ac:dyDescent="0.2">
      <c r="A8" s="415"/>
      <c r="B8" s="173"/>
      <c r="C8" s="395"/>
      <c r="D8" s="173"/>
      <c r="E8" s="173"/>
      <c r="F8" s="395"/>
      <c r="G8" s="395"/>
      <c r="H8" s="395"/>
      <c r="I8" s="395"/>
      <c r="J8" s="395"/>
      <c r="K8" s="395"/>
      <c r="L8" s="395"/>
      <c r="M8" s="395"/>
      <c r="N8" s="395"/>
      <c r="O8" s="395"/>
      <c r="P8" s="395"/>
      <c r="Q8" s="395"/>
      <c r="R8" s="395"/>
      <c r="S8" s="395"/>
      <c r="T8" s="395"/>
      <c r="U8" s="395"/>
      <c r="V8" s="395"/>
      <c r="W8" s="395"/>
      <c r="X8" s="395"/>
      <c r="Y8" s="395"/>
      <c r="Z8" s="395"/>
      <c r="AA8" s="395"/>
      <c r="AB8" s="395"/>
      <c r="AC8" s="395"/>
      <c r="AD8" s="395"/>
      <c r="AE8" s="395"/>
      <c r="AF8" s="395"/>
      <c r="AG8" s="395"/>
      <c r="AH8" s="395"/>
      <c r="AI8" s="395"/>
      <c r="AJ8" s="395"/>
      <c r="AK8" s="395"/>
      <c r="AL8" s="395"/>
      <c r="AM8" s="395"/>
      <c r="AN8" s="395"/>
      <c r="AO8" s="395"/>
      <c r="AP8" s="395"/>
      <c r="AQ8" s="395"/>
      <c r="AR8" s="395"/>
      <c r="AS8" s="395"/>
      <c r="AT8" s="395"/>
      <c r="AU8" s="395"/>
      <c r="AV8" s="395"/>
      <c r="AW8" s="395"/>
      <c r="AX8" s="395"/>
      <c r="AY8" s="395"/>
      <c r="AZ8" s="395"/>
      <c r="BA8" s="395"/>
      <c r="BB8" s="395"/>
      <c r="BC8" s="395"/>
      <c r="BD8" s="395"/>
      <c r="BE8" s="395"/>
      <c r="BF8" s="395"/>
      <c r="BG8" s="395"/>
      <c r="BH8" s="395"/>
      <c r="BI8" s="395"/>
      <c r="BJ8" s="395"/>
      <c r="BK8" s="395"/>
      <c r="BL8" s="395"/>
      <c r="BM8" s="395"/>
      <c r="BN8" s="395"/>
      <c r="BO8" s="395"/>
      <c r="BP8" s="395"/>
      <c r="BQ8" s="395"/>
      <c r="BR8" s="395"/>
      <c r="BS8" s="395"/>
      <c r="BT8" s="395"/>
      <c r="BU8" s="395"/>
      <c r="BV8" s="395"/>
      <c r="BW8" s="395"/>
      <c r="BX8" s="395"/>
      <c r="BY8" s="395"/>
      <c r="BZ8" s="395"/>
      <c r="CA8" s="395"/>
      <c r="CB8" s="395"/>
      <c r="CC8" s="395"/>
      <c r="CD8" s="395"/>
      <c r="CE8" s="395"/>
      <c r="CF8" s="395"/>
      <c r="CG8" s="395"/>
      <c r="CH8" s="395"/>
      <c r="CI8" s="395"/>
      <c r="CJ8" s="395"/>
      <c r="CK8" s="395"/>
      <c r="CL8" s="395"/>
      <c r="CM8" s="395"/>
      <c r="CN8" s="395"/>
      <c r="CO8" s="395"/>
    </row>
    <row r="9" spans="1:93" x14ac:dyDescent="0.2">
      <c r="A9" s="415"/>
      <c r="B9" s="395"/>
      <c r="C9" s="395"/>
      <c r="D9" s="395"/>
      <c r="E9" s="417"/>
      <c r="F9" s="395"/>
      <c r="G9" s="395"/>
      <c r="H9" s="395"/>
      <c r="I9" s="395"/>
      <c r="J9" s="395"/>
      <c r="K9" s="395"/>
      <c r="L9" s="395"/>
      <c r="M9" s="395"/>
      <c r="N9" s="395"/>
      <c r="O9" s="395"/>
      <c r="P9" s="395"/>
      <c r="Q9" s="395"/>
      <c r="R9" s="395"/>
      <c r="S9" s="395"/>
      <c r="T9" s="395"/>
      <c r="U9" s="395"/>
      <c r="V9" s="395"/>
      <c r="W9" s="395"/>
      <c r="X9" s="395"/>
      <c r="Y9" s="395"/>
      <c r="Z9" s="395"/>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row>
    <row r="10" spans="1:93" x14ac:dyDescent="0.2">
      <c r="A10" s="415"/>
      <c r="B10" s="395"/>
      <c r="C10" s="395"/>
      <c r="D10" s="395"/>
      <c r="E10" s="417"/>
      <c r="F10" s="395"/>
      <c r="G10" s="395"/>
      <c r="H10" s="395"/>
      <c r="I10" s="395"/>
      <c r="J10" s="395"/>
      <c r="K10" s="395"/>
      <c r="L10" s="395"/>
      <c r="M10" s="395"/>
      <c r="N10" s="395"/>
      <c r="O10" s="395"/>
      <c r="P10" s="395"/>
      <c r="Q10" s="395"/>
      <c r="R10" s="395"/>
      <c r="S10" s="395"/>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row>
    <row r="11" spans="1:93" x14ac:dyDescent="0.2">
      <c r="A11" s="415"/>
      <c r="B11" s="395"/>
      <c r="C11" s="395"/>
      <c r="D11" s="395"/>
      <c r="E11" s="417"/>
      <c r="F11" s="395"/>
      <c r="G11" s="395"/>
      <c r="H11" s="395"/>
      <c r="I11" s="395"/>
      <c r="J11" s="395"/>
      <c r="K11" s="395"/>
      <c r="L11" s="395"/>
      <c r="M11" s="395"/>
      <c r="N11" s="395"/>
      <c r="O11" s="395"/>
      <c r="P11" s="395"/>
      <c r="Q11" s="395"/>
      <c r="R11" s="395"/>
      <c r="S11" s="395"/>
      <c r="T11" s="395"/>
      <c r="U11" s="395"/>
      <c r="V11" s="395"/>
      <c r="W11" s="395"/>
      <c r="X11" s="395"/>
      <c r="Y11" s="395"/>
      <c r="Z11" s="395"/>
      <c r="AA11" s="395"/>
      <c r="AB11" s="395"/>
      <c r="AC11" s="395"/>
      <c r="AD11" s="395"/>
      <c r="AE11" s="395"/>
      <c r="AF11" s="395"/>
      <c r="AG11" s="395"/>
      <c r="AH11" s="395"/>
      <c r="AI11" s="395"/>
      <c r="AJ11" s="395"/>
      <c r="AK11" s="395"/>
      <c r="AL11" s="395"/>
      <c r="AM11" s="395"/>
      <c r="AN11" s="395"/>
      <c r="AO11" s="395"/>
      <c r="AP11" s="395"/>
      <c r="AQ11" s="395"/>
      <c r="AR11" s="395"/>
      <c r="AS11" s="395"/>
      <c r="AT11" s="395"/>
      <c r="AU11" s="395"/>
      <c r="AV11" s="395"/>
      <c r="AW11" s="395"/>
      <c r="AX11" s="395"/>
      <c r="AY11" s="395"/>
      <c r="AZ11" s="395"/>
      <c r="BA11" s="395"/>
      <c r="BB11" s="395"/>
      <c r="BC11" s="395"/>
      <c r="BD11" s="395"/>
      <c r="BE11" s="395"/>
      <c r="BF11" s="395"/>
      <c r="BG11" s="395"/>
      <c r="BH11" s="395"/>
      <c r="BI11" s="395"/>
      <c r="BJ11" s="395"/>
      <c r="BK11" s="395"/>
      <c r="BL11" s="395"/>
      <c r="BM11" s="395"/>
      <c r="BN11" s="395"/>
      <c r="BO11" s="395"/>
      <c r="BP11" s="395"/>
      <c r="BQ11" s="395"/>
      <c r="BR11" s="395"/>
      <c r="BS11" s="395"/>
      <c r="BT11" s="395"/>
      <c r="BU11" s="395"/>
      <c r="BV11" s="395"/>
      <c r="BW11" s="395"/>
      <c r="BX11" s="395"/>
      <c r="BY11" s="395"/>
      <c r="BZ11" s="395"/>
      <c r="CA11" s="395"/>
      <c r="CB11" s="395"/>
      <c r="CC11" s="395"/>
      <c r="CD11" s="395"/>
      <c r="CE11" s="395"/>
      <c r="CF11" s="395"/>
      <c r="CG11" s="395"/>
      <c r="CH11" s="395"/>
      <c r="CI11" s="395"/>
      <c r="CJ11" s="395"/>
      <c r="CK11" s="395"/>
      <c r="CL11" s="395"/>
      <c r="CM11" s="395"/>
      <c r="CN11" s="395"/>
      <c r="CO11" s="395"/>
    </row>
    <row r="12" spans="1:93" x14ac:dyDescent="0.2">
      <c r="A12" s="415"/>
      <c r="B12" s="395"/>
      <c r="C12" s="395"/>
      <c r="D12" s="395"/>
      <c r="E12" s="417"/>
      <c r="F12" s="395"/>
      <c r="G12" s="395"/>
      <c r="H12" s="395"/>
      <c r="I12" s="395"/>
      <c r="J12" s="395"/>
      <c r="K12" s="395"/>
      <c r="L12" s="395"/>
      <c r="M12" s="395"/>
      <c r="N12" s="395"/>
      <c r="O12" s="395"/>
      <c r="P12" s="395"/>
      <c r="Q12" s="395"/>
      <c r="R12" s="395"/>
      <c r="S12" s="395"/>
      <c r="T12" s="395"/>
      <c r="U12" s="395"/>
      <c r="V12" s="395"/>
      <c r="W12" s="395"/>
      <c r="X12" s="395"/>
      <c r="Y12" s="395"/>
      <c r="Z12" s="395"/>
      <c r="AA12" s="395"/>
      <c r="AB12" s="395"/>
      <c r="AC12" s="395"/>
      <c r="AD12" s="395"/>
      <c r="AE12" s="395"/>
      <c r="AF12" s="395"/>
      <c r="AG12" s="395"/>
      <c r="AH12" s="395"/>
      <c r="AI12" s="395"/>
      <c r="AJ12" s="395"/>
      <c r="AK12" s="395"/>
      <c r="AL12" s="395"/>
      <c r="AM12" s="395"/>
      <c r="AN12" s="395"/>
      <c r="AO12" s="395"/>
      <c r="AP12" s="395"/>
      <c r="AQ12" s="395"/>
      <c r="AR12" s="395"/>
      <c r="AS12" s="395"/>
      <c r="AT12" s="395"/>
      <c r="AU12" s="395"/>
      <c r="AV12" s="395"/>
      <c r="AW12" s="395"/>
      <c r="AX12" s="395"/>
      <c r="AY12" s="395"/>
      <c r="AZ12" s="395"/>
      <c r="BA12" s="395"/>
      <c r="BB12" s="395"/>
      <c r="BC12" s="395"/>
      <c r="BD12" s="395"/>
      <c r="BE12" s="395"/>
      <c r="BF12" s="395"/>
      <c r="BG12" s="395"/>
      <c r="BH12" s="395"/>
      <c r="BI12" s="395"/>
      <c r="BJ12" s="395"/>
      <c r="BK12" s="395"/>
      <c r="BL12" s="395"/>
      <c r="BM12" s="395"/>
      <c r="BN12" s="395"/>
      <c r="BO12" s="395"/>
      <c r="BP12" s="395"/>
      <c r="BQ12" s="395"/>
      <c r="BR12" s="395"/>
      <c r="BS12" s="395"/>
      <c r="BT12" s="395"/>
      <c r="BU12" s="395"/>
      <c r="BV12" s="395"/>
      <c r="BW12" s="395"/>
      <c r="BX12" s="395"/>
      <c r="BY12" s="395"/>
      <c r="BZ12" s="395"/>
      <c r="CA12" s="395"/>
      <c r="CB12" s="395"/>
      <c r="CC12" s="395"/>
      <c r="CD12" s="395"/>
      <c r="CE12" s="395"/>
      <c r="CF12" s="395"/>
      <c r="CG12" s="395"/>
      <c r="CH12" s="395"/>
      <c r="CI12" s="395"/>
      <c r="CJ12" s="395"/>
      <c r="CK12" s="395"/>
      <c r="CL12" s="395"/>
      <c r="CM12" s="395"/>
      <c r="CN12" s="395"/>
      <c r="CO12" s="395"/>
    </row>
    <row r="13" spans="1:93" x14ac:dyDescent="0.2">
      <c r="A13" s="415"/>
      <c r="B13" s="395"/>
      <c r="C13" s="395"/>
      <c r="D13" s="395"/>
      <c r="E13" s="417"/>
      <c r="F13" s="395"/>
      <c r="G13" s="395"/>
      <c r="H13" s="395"/>
      <c r="I13" s="395"/>
      <c r="J13" s="395"/>
      <c r="K13" s="395"/>
      <c r="L13" s="395"/>
      <c r="M13" s="395"/>
      <c r="N13" s="395"/>
      <c r="O13" s="395"/>
      <c r="P13" s="395"/>
      <c r="Q13" s="395"/>
      <c r="R13" s="395"/>
      <c r="S13" s="395"/>
      <c r="T13" s="395"/>
      <c r="U13" s="395"/>
      <c r="V13" s="395"/>
      <c r="W13" s="395"/>
      <c r="X13" s="395"/>
      <c r="Y13" s="395"/>
      <c r="Z13" s="395"/>
      <c r="AA13" s="395"/>
      <c r="AB13" s="395"/>
      <c r="AC13" s="395"/>
      <c r="AD13" s="395"/>
      <c r="AE13" s="395"/>
      <c r="AF13" s="395"/>
      <c r="AG13" s="395"/>
      <c r="AH13" s="395"/>
      <c r="AI13" s="395"/>
      <c r="AJ13" s="395"/>
      <c r="AK13" s="395"/>
      <c r="AL13" s="395"/>
      <c r="AM13" s="395"/>
      <c r="AN13" s="395"/>
      <c r="AO13" s="395"/>
      <c r="AP13" s="395"/>
      <c r="AQ13" s="395"/>
      <c r="AR13" s="395"/>
      <c r="AS13" s="395"/>
      <c r="AT13" s="395"/>
      <c r="AU13" s="395"/>
      <c r="AV13" s="395"/>
      <c r="AW13" s="395"/>
      <c r="AX13" s="395"/>
      <c r="AY13" s="395"/>
      <c r="AZ13" s="395"/>
      <c r="BA13" s="395"/>
      <c r="BB13" s="395"/>
      <c r="BC13" s="395"/>
      <c r="BD13" s="395"/>
      <c r="BE13" s="395"/>
      <c r="BF13" s="395"/>
      <c r="BG13" s="395"/>
      <c r="BH13" s="395"/>
      <c r="BI13" s="395"/>
      <c r="BJ13" s="395"/>
      <c r="BK13" s="395"/>
      <c r="BL13" s="395"/>
      <c r="BM13" s="395"/>
      <c r="BN13" s="395"/>
      <c r="BO13" s="395"/>
      <c r="BP13" s="395"/>
      <c r="BQ13" s="395"/>
      <c r="BR13" s="395"/>
      <c r="BS13" s="395"/>
      <c r="BT13" s="395"/>
      <c r="BU13" s="395"/>
      <c r="BV13" s="395"/>
      <c r="BW13" s="395"/>
      <c r="BX13" s="395"/>
      <c r="BY13" s="395"/>
      <c r="BZ13" s="395"/>
      <c r="CA13" s="395"/>
      <c r="CB13" s="395"/>
      <c r="CC13" s="395"/>
      <c r="CD13" s="395"/>
      <c r="CE13" s="395"/>
      <c r="CF13" s="395"/>
      <c r="CG13" s="395"/>
      <c r="CH13" s="395"/>
      <c r="CI13" s="395"/>
      <c r="CJ13" s="395"/>
      <c r="CK13" s="395"/>
      <c r="CL13" s="395"/>
      <c r="CM13" s="395"/>
      <c r="CN13" s="395"/>
      <c r="CO13" s="395"/>
    </row>
    <row r="14" spans="1:93" x14ac:dyDescent="0.2">
      <c r="A14" s="415"/>
      <c r="B14" s="395"/>
      <c r="C14" s="395"/>
      <c r="D14" s="395"/>
      <c r="E14" s="417"/>
      <c r="F14" s="395"/>
      <c r="G14" s="395"/>
      <c r="H14" s="395"/>
      <c r="I14" s="395"/>
      <c r="J14" s="395"/>
      <c r="K14" s="395"/>
      <c r="L14" s="395"/>
      <c r="M14" s="395"/>
      <c r="N14" s="395"/>
      <c r="O14" s="395"/>
      <c r="P14" s="395"/>
      <c r="Q14" s="395"/>
      <c r="R14" s="395"/>
      <c r="S14" s="395"/>
      <c r="T14" s="395"/>
      <c r="U14" s="395"/>
      <c r="V14" s="395"/>
      <c r="W14" s="395"/>
      <c r="X14" s="395"/>
      <c r="Y14" s="395"/>
      <c r="Z14" s="395"/>
      <c r="AA14" s="395"/>
      <c r="AB14" s="395"/>
      <c r="AC14" s="395"/>
      <c r="AD14" s="395"/>
      <c r="AE14" s="395"/>
      <c r="AF14" s="395"/>
      <c r="AG14" s="395"/>
      <c r="AH14" s="395"/>
      <c r="AI14" s="395"/>
      <c r="AJ14" s="395"/>
      <c r="AK14" s="395"/>
      <c r="AL14" s="395"/>
      <c r="AM14" s="395"/>
      <c r="AN14" s="395"/>
      <c r="AO14" s="395"/>
      <c r="AP14" s="395"/>
      <c r="AQ14" s="395"/>
      <c r="AR14" s="395"/>
      <c r="AS14" s="395"/>
      <c r="AT14" s="395"/>
      <c r="AU14" s="395"/>
      <c r="AV14" s="395"/>
      <c r="AW14" s="395"/>
      <c r="AX14" s="395"/>
      <c r="AY14" s="395"/>
      <c r="AZ14" s="395"/>
      <c r="BA14" s="395"/>
      <c r="BB14" s="395"/>
      <c r="BC14" s="395"/>
      <c r="BD14" s="395"/>
      <c r="BE14" s="395"/>
      <c r="BF14" s="395"/>
      <c r="BG14" s="395"/>
      <c r="BH14" s="395"/>
      <c r="BI14" s="395"/>
      <c r="BJ14" s="395"/>
      <c r="BK14" s="395"/>
      <c r="BL14" s="395"/>
      <c r="BM14" s="395"/>
      <c r="BN14" s="395"/>
      <c r="BO14" s="395"/>
      <c r="BP14" s="395"/>
      <c r="BQ14" s="395"/>
      <c r="BR14" s="395"/>
      <c r="BS14" s="395"/>
      <c r="BT14" s="395"/>
      <c r="BU14" s="395"/>
      <c r="BV14" s="395"/>
      <c r="BW14" s="395"/>
      <c r="BX14" s="395"/>
      <c r="BY14" s="395"/>
      <c r="BZ14" s="395"/>
      <c r="CA14" s="395"/>
      <c r="CB14" s="395"/>
      <c r="CC14" s="395"/>
      <c r="CD14" s="395"/>
      <c r="CE14" s="395"/>
      <c r="CF14" s="395"/>
      <c r="CG14" s="395"/>
      <c r="CH14" s="395"/>
      <c r="CI14" s="395"/>
      <c r="CJ14" s="395"/>
      <c r="CK14" s="395"/>
      <c r="CL14" s="395"/>
      <c r="CM14" s="395"/>
      <c r="CN14" s="395"/>
      <c r="CO14" s="395"/>
    </row>
    <row r="15" spans="1:93" x14ac:dyDescent="0.2">
      <c r="A15" s="415"/>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95"/>
      <c r="AI15" s="395"/>
      <c r="AJ15" s="395"/>
      <c r="AK15" s="395"/>
      <c r="AL15" s="395"/>
      <c r="AM15" s="395"/>
      <c r="AN15" s="395"/>
      <c r="AO15" s="395"/>
      <c r="AP15" s="395"/>
      <c r="AQ15" s="395"/>
      <c r="AR15" s="395"/>
      <c r="AS15" s="395"/>
      <c r="AT15" s="395"/>
      <c r="AU15" s="395"/>
      <c r="AV15" s="395"/>
      <c r="AW15" s="395"/>
      <c r="AX15" s="395"/>
      <c r="AY15" s="395"/>
      <c r="AZ15" s="395"/>
      <c r="BA15" s="395"/>
      <c r="BB15" s="395"/>
      <c r="BC15" s="395"/>
      <c r="BD15" s="395"/>
      <c r="BE15" s="395"/>
      <c r="BF15" s="395"/>
      <c r="BG15" s="395"/>
      <c r="BH15" s="395"/>
      <c r="BI15" s="395"/>
      <c r="BJ15" s="395"/>
      <c r="BK15" s="395"/>
      <c r="BL15" s="395"/>
      <c r="BM15" s="395"/>
      <c r="BN15" s="395"/>
      <c r="BO15" s="395"/>
      <c r="BP15" s="395"/>
      <c r="BQ15" s="395"/>
      <c r="BR15" s="395"/>
      <c r="BS15" s="395"/>
      <c r="BT15" s="395"/>
      <c r="BU15" s="395"/>
      <c r="BV15" s="395"/>
      <c r="BW15" s="395"/>
      <c r="BX15" s="395"/>
      <c r="BY15" s="395"/>
      <c r="BZ15" s="395"/>
      <c r="CA15" s="395"/>
      <c r="CB15" s="395"/>
      <c r="CC15" s="395"/>
      <c r="CD15" s="395"/>
      <c r="CE15" s="395"/>
      <c r="CF15" s="395"/>
      <c r="CG15" s="395"/>
      <c r="CH15" s="395"/>
      <c r="CI15" s="395"/>
      <c r="CJ15" s="395"/>
      <c r="CK15" s="395"/>
      <c r="CL15" s="395"/>
      <c r="CM15" s="395"/>
      <c r="CN15" s="395"/>
      <c r="CO15" s="395"/>
    </row>
    <row r="16" spans="1:93" ht="15" x14ac:dyDescent="0.25">
      <c r="A16" s="415"/>
      <c r="B16" s="395"/>
      <c r="C16" s="395"/>
      <c r="D16" s="415"/>
      <c r="E16" s="395"/>
      <c r="F16" s="395"/>
      <c r="G16" s="395"/>
      <c r="H16" s="263"/>
      <c r="I16" s="263"/>
      <c r="J16" s="263"/>
      <c r="K16" s="263"/>
      <c r="L16" s="263"/>
      <c r="M16" s="263"/>
      <c r="N16" s="263"/>
      <c r="O16" s="263"/>
      <c r="P16" s="263"/>
      <c r="Q16" s="395"/>
      <c r="R16" s="395"/>
      <c r="S16" s="395"/>
      <c r="T16" s="395"/>
      <c r="U16" s="395"/>
      <c r="V16" s="395"/>
      <c r="W16" s="395"/>
      <c r="X16" s="395"/>
      <c r="Y16" s="395"/>
      <c r="Z16" s="395"/>
      <c r="AA16" s="395"/>
      <c r="AB16" s="395"/>
      <c r="AC16" s="395"/>
      <c r="AD16" s="395"/>
      <c r="AE16" s="395"/>
      <c r="AF16" s="395"/>
      <c r="AG16" s="395"/>
      <c r="AH16" s="395"/>
      <c r="AI16" s="395"/>
      <c r="AJ16" s="395"/>
      <c r="AK16" s="395"/>
      <c r="AL16" s="395"/>
      <c r="AM16" s="395"/>
      <c r="AN16" s="395"/>
      <c r="AO16" s="395"/>
      <c r="AP16" s="395"/>
      <c r="AQ16" s="395"/>
      <c r="AR16" s="395"/>
      <c r="AS16" s="395"/>
      <c r="AT16" s="395"/>
      <c r="AU16" s="395"/>
      <c r="AV16" s="395"/>
      <c r="AW16" s="395"/>
      <c r="AX16" s="395"/>
      <c r="AY16" s="395"/>
      <c r="AZ16" s="395"/>
      <c r="BA16" s="395"/>
      <c r="BB16" s="395"/>
      <c r="BC16" s="395"/>
      <c r="BD16" s="395"/>
      <c r="BE16" s="395"/>
      <c r="BF16" s="395"/>
      <c r="BG16" s="395"/>
      <c r="BH16" s="395"/>
      <c r="BI16" s="395"/>
      <c r="BJ16" s="395"/>
      <c r="BK16" s="395"/>
      <c r="BL16" s="395"/>
      <c r="BM16" s="395"/>
      <c r="BN16" s="395"/>
      <c r="BO16" s="395"/>
      <c r="BP16" s="395"/>
      <c r="BQ16" s="395"/>
      <c r="BR16" s="395"/>
      <c r="BS16" s="395"/>
      <c r="BT16" s="395"/>
      <c r="BU16" s="395"/>
      <c r="BV16" s="395"/>
      <c r="BW16" s="395"/>
      <c r="BX16" s="395"/>
      <c r="BY16" s="395"/>
      <c r="BZ16" s="395"/>
      <c r="CA16" s="395"/>
      <c r="CB16" s="395"/>
      <c r="CC16" s="395"/>
      <c r="CD16" s="395"/>
      <c r="CE16" s="395"/>
      <c r="CF16" s="395"/>
      <c r="CG16" s="395"/>
      <c r="CH16" s="395"/>
      <c r="CI16" s="395"/>
      <c r="CJ16" s="395"/>
      <c r="CK16" s="395"/>
      <c r="CL16" s="395"/>
      <c r="CM16" s="395"/>
      <c r="CN16" s="395"/>
      <c r="CO16" s="395"/>
    </row>
    <row r="17" spans="1:41" ht="15" x14ac:dyDescent="0.25">
      <c r="A17" s="415"/>
      <c r="B17" s="395"/>
      <c r="C17" s="395"/>
      <c r="D17" s="395"/>
      <c r="E17" s="395"/>
      <c r="F17" s="395"/>
      <c r="G17" s="395"/>
      <c r="H17" s="263"/>
      <c r="I17" s="263"/>
      <c r="J17" s="263"/>
      <c r="K17" s="263"/>
      <c r="L17" s="263"/>
      <c r="M17" s="263"/>
      <c r="N17" s="263"/>
      <c r="O17" s="263"/>
      <c r="P17" s="263"/>
      <c r="Q17" s="395"/>
      <c r="R17" s="395"/>
      <c r="S17" s="395"/>
      <c r="T17" s="395"/>
      <c r="U17" s="395"/>
      <c r="V17" s="395"/>
      <c r="W17" s="395"/>
      <c r="X17" s="395"/>
      <c r="Y17" s="395"/>
      <c r="Z17" s="395"/>
      <c r="AA17" s="395"/>
      <c r="AB17" s="395"/>
      <c r="AC17" s="395"/>
      <c r="AD17" s="395"/>
      <c r="AE17" s="395"/>
      <c r="AF17" s="395"/>
      <c r="AG17" s="395"/>
      <c r="AH17" s="395"/>
      <c r="AI17" s="395"/>
      <c r="AJ17" s="395"/>
      <c r="AK17" s="395"/>
      <c r="AL17" s="395"/>
      <c r="AM17" s="395"/>
      <c r="AN17" s="395"/>
      <c r="AO17" s="395"/>
    </row>
    <row r="18" spans="1:41" ht="15" x14ac:dyDescent="0.25">
      <c r="A18" s="415"/>
      <c r="B18" s="395"/>
      <c r="C18" s="395"/>
      <c r="D18" s="395"/>
      <c r="E18" s="395"/>
      <c r="F18" s="395"/>
      <c r="G18" s="395"/>
      <c r="H18" s="263"/>
      <c r="I18" s="264"/>
      <c r="J18" s="22"/>
      <c r="K18" s="264"/>
      <c r="L18" s="22"/>
      <c r="M18" s="264"/>
      <c r="N18" s="22"/>
      <c r="O18" s="264"/>
      <c r="P18" s="22"/>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5"/>
      <c r="AO18" s="395"/>
    </row>
    <row r="19" spans="1:41" ht="15" x14ac:dyDescent="0.25">
      <c r="A19" s="415"/>
      <c r="B19" s="395"/>
      <c r="C19" s="395"/>
      <c r="D19" s="395"/>
      <c r="E19" s="395"/>
      <c r="F19" s="395"/>
      <c r="G19" s="395"/>
      <c r="H19" s="263"/>
      <c r="I19" s="264"/>
      <c r="J19" s="22"/>
      <c r="K19" s="264"/>
      <c r="L19" s="22"/>
      <c r="M19" s="264"/>
      <c r="N19" s="22"/>
      <c r="O19" s="264"/>
      <c r="P19" s="22"/>
      <c r="Q19" s="395"/>
      <c r="R19" s="395"/>
      <c r="S19" s="395"/>
      <c r="T19" s="395"/>
      <c r="U19" s="395"/>
      <c r="V19" s="395"/>
      <c r="W19" s="395"/>
      <c r="X19" s="395"/>
      <c r="Y19" s="395"/>
      <c r="Z19" s="395"/>
      <c r="AA19" s="395"/>
      <c r="AB19" s="395"/>
      <c r="AC19" s="395"/>
      <c r="AD19" s="395"/>
      <c r="AE19" s="395"/>
      <c r="AF19" s="395"/>
      <c r="AG19" s="395"/>
      <c r="AH19" s="395"/>
      <c r="AI19" s="395"/>
      <c r="AJ19" s="395"/>
      <c r="AK19" s="395"/>
      <c r="AL19" s="395"/>
      <c r="AM19" s="395"/>
      <c r="AN19" s="395"/>
      <c r="AO19" s="395"/>
    </row>
    <row r="20" spans="1:41" ht="15" x14ac:dyDescent="0.25">
      <c r="A20" s="474"/>
      <c r="B20" s="394"/>
      <c r="C20" s="395"/>
      <c r="D20" s="395"/>
      <c r="E20" s="395"/>
      <c r="F20" s="395"/>
      <c r="G20" s="395"/>
      <c r="H20" s="263"/>
      <c r="I20" s="264"/>
      <c r="J20" s="22"/>
      <c r="K20" s="264"/>
      <c r="L20" s="22"/>
      <c r="M20" s="264"/>
      <c r="N20" s="22"/>
      <c r="O20" s="264"/>
      <c r="P20" s="22"/>
      <c r="Q20" s="395"/>
      <c r="R20" s="395"/>
      <c r="S20" s="395"/>
      <c r="T20" s="395"/>
      <c r="U20" s="395"/>
      <c r="V20" s="395"/>
      <c r="W20" s="395"/>
      <c r="X20" s="395"/>
      <c r="Y20" s="395"/>
      <c r="Z20" s="395"/>
      <c r="AA20" s="395"/>
      <c r="AB20" s="395"/>
      <c r="AC20" s="395"/>
      <c r="AD20" s="395"/>
      <c r="AE20" s="395"/>
      <c r="AF20" s="395"/>
      <c r="AG20" s="395"/>
      <c r="AH20" s="395"/>
      <c r="AI20" s="395"/>
      <c r="AJ20" s="395"/>
      <c r="AK20" s="395"/>
      <c r="AL20" s="395"/>
      <c r="AM20" s="395"/>
      <c r="AN20" s="395"/>
      <c r="AO20" s="395"/>
    </row>
    <row r="21" spans="1:41" ht="15" x14ac:dyDescent="0.25">
      <c r="A21" s="415"/>
      <c r="B21" s="394"/>
      <c r="C21" s="395"/>
      <c r="D21" s="395"/>
      <c r="E21" s="395"/>
      <c r="F21" s="395"/>
      <c r="G21" s="395"/>
      <c r="H21" s="263"/>
      <c r="I21" s="264"/>
      <c r="J21" s="22"/>
      <c r="K21" s="264"/>
      <c r="L21" s="22"/>
      <c r="M21" s="264"/>
      <c r="N21" s="22"/>
      <c r="O21" s="264"/>
      <c r="P21" s="22"/>
      <c r="Q21" s="395"/>
      <c r="R21" s="395"/>
      <c r="S21" s="395"/>
      <c r="T21" s="395"/>
      <c r="U21" s="395"/>
      <c r="V21" s="395"/>
      <c r="W21" s="395"/>
      <c r="X21" s="395"/>
      <c r="Y21" s="395"/>
      <c r="Z21" s="395"/>
      <c r="AA21" s="395"/>
      <c r="AB21" s="395"/>
      <c r="AC21" s="395"/>
      <c r="AD21" s="395"/>
      <c r="AE21" s="395"/>
      <c r="AF21" s="395"/>
      <c r="AG21" s="395"/>
      <c r="AH21" s="395"/>
      <c r="AI21" s="395"/>
      <c r="AJ21" s="395"/>
      <c r="AK21" s="395"/>
      <c r="AL21" s="395"/>
      <c r="AM21" s="395"/>
      <c r="AN21" s="395"/>
      <c r="AO21" s="395"/>
    </row>
    <row r="22" spans="1:41" ht="15" x14ac:dyDescent="0.25">
      <c r="A22" s="415"/>
      <c r="B22" s="417"/>
      <c r="C22" s="395"/>
      <c r="D22" s="395"/>
      <c r="E22" s="395"/>
      <c r="F22" s="395"/>
      <c r="G22" s="395"/>
      <c r="H22" s="263"/>
      <c r="I22" s="264"/>
      <c r="J22" s="22"/>
      <c r="K22" s="264"/>
      <c r="L22" s="22"/>
      <c r="M22" s="264"/>
      <c r="N22" s="22"/>
      <c r="O22" s="264"/>
      <c r="P22" s="22"/>
      <c r="Q22" s="395"/>
      <c r="R22" s="395"/>
      <c r="S22" s="395"/>
      <c r="T22" s="395"/>
      <c r="U22" s="395"/>
      <c r="V22" s="395"/>
      <c r="W22" s="395"/>
      <c r="X22" s="395"/>
      <c r="Y22" s="395"/>
      <c r="Z22" s="395"/>
      <c r="AA22" s="395"/>
      <c r="AB22" s="395"/>
      <c r="AC22" s="395"/>
      <c r="AD22" s="395"/>
      <c r="AE22" s="395"/>
      <c r="AF22" s="395"/>
      <c r="AG22" s="395"/>
      <c r="AH22" s="395"/>
      <c r="AI22" s="395"/>
      <c r="AJ22" s="395"/>
      <c r="AK22" s="395"/>
      <c r="AL22" s="395"/>
      <c r="AM22" s="395"/>
      <c r="AN22" s="395"/>
      <c r="AO22" s="395"/>
    </row>
    <row r="23" spans="1:41" ht="15" x14ac:dyDescent="0.25">
      <c r="A23" s="415"/>
      <c r="B23" s="395"/>
      <c r="C23" s="395"/>
      <c r="D23" s="395"/>
      <c r="E23" s="395"/>
      <c r="F23" s="395"/>
      <c r="G23" s="395"/>
      <c r="H23" s="263"/>
      <c r="I23" s="264"/>
      <c r="J23" s="22"/>
      <c r="K23" s="264"/>
      <c r="L23" s="22"/>
      <c r="M23" s="264"/>
      <c r="N23" s="22"/>
      <c r="O23" s="264"/>
      <c r="P23" s="22"/>
      <c r="Q23" s="395"/>
      <c r="R23" s="395"/>
      <c r="S23" s="395"/>
      <c r="T23" s="395"/>
      <c r="U23" s="395"/>
      <c r="V23" s="395"/>
      <c r="W23" s="395"/>
      <c r="X23" s="395"/>
      <c r="Y23" s="395"/>
      <c r="Z23" s="395"/>
      <c r="AA23" s="395"/>
      <c r="AB23" s="395"/>
      <c r="AC23" s="395"/>
      <c r="AD23" s="395"/>
      <c r="AE23" s="395"/>
      <c r="AF23" s="395"/>
      <c r="AG23" s="395"/>
      <c r="AH23" s="395"/>
      <c r="AI23" s="395"/>
      <c r="AJ23" s="395"/>
      <c r="AK23" s="395"/>
      <c r="AL23" s="395"/>
      <c r="AM23" s="395"/>
      <c r="AN23" s="395"/>
      <c r="AO23" s="395"/>
    </row>
    <row r="24" spans="1:41" ht="15" x14ac:dyDescent="0.25">
      <c r="A24" s="415"/>
      <c r="B24" s="395"/>
      <c r="C24" s="395"/>
      <c r="D24" s="395"/>
      <c r="E24" s="395"/>
      <c r="F24" s="395"/>
      <c r="G24" s="395"/>
      <c r="H24" s="263"/>
      <c r="I24" s="264"/>
      <c r="J24" s="22"/>
      <c r="K24" s="264"/>
      <c r="L24" s="22"/>
      <c r="M24" s="264"/>
      <c r="N24" s="22"/>
      <c r="O24" s="264"/>
      <c r="P24" s="22"/>
      <c r="Q24" s="395"/>
      <c r="R24" s="395"/>
      <c r="S24" s="395"/>
      <c r="T24" s="395"/>
      <c r="U24" s="395"/>
      <c r="V24" s="395"/>
      <c r="W24" s="395"/>
      <c r="X24" s="395"/>
      <c r="Y24" s="395"/>
      <c r="Z24" s="395"/>
      <c r="AA24" s="395"/>
      <c r="AB24" s="395"/>
      <c r="AC24" s="395"/>
      <c r="AD24" s="395"/>
      <c r="AE24" s="395"/>
      <c r="AF24" s="395"/>
      <c r="AG24" s="395"/>
      <c r="AH24" s="395"/>
      <c r="AI24" s="395"/>
      <c r="AJ24" s="395"/>
      <c r="AK24" s="395"/>
      <c r="AL24" s="395"/>
      <c r="AM24" s="395"/>
      <c r="AN24" s="395"/>
      <c r="AO24" s="395"/>
    </row>
    <row r="25" spans="1:41" ht="15" x14ac:dyDescent="0.25">
      <c r="A25" s="415"/>
      <c r="B25" s="395"/>
      <c r="C25" s="395"/>
      <c r="D25" s="395"/>
      <c r="E25" s="395"/>
      <c r="F25" s="395"/>
      <c r="G25" s="395"/>
      <c r="H25" s="263"/>
      <c r="I25" s="264"/>
      <c r="J25" s="22"/>
      <c r="K25" s="264"/>
      <c r="L25" s="22"/>
      <c r="M25" s="264"/>
      <c r="N25" s="22"/>
      <c r="O25" s="264"/>
      <c r="P25" s="22"/>
      <c r="Q25" s="395"/>
      <c r="R25" s="395"/>
      <c r="S25" s="395"/>
      <c r="T25" s="395"/>
      <c r="U25" s="395"/>
      <c r="V25" s="395"/>
      <c r="W25" s="395"/>
      <c r="X25" s="395"/>
      <c r="Y25" s="395"/>
      <c r="Z25" s="395"/>
      <c r="AA25" s="395"/>
      <c r="AB25" s="395"/>
      <c r="AC25" s="395"/>
      <c r="AD25" s="395"/>
      <c r="AE25" s="395"/>
      <c r="AF25" s="395"/>
      <c r="AG25" s="395"/>
      <c r="AH25" s="395"/>
      <c r="AI25" s="395"/>
      <c r="AJ25" s="395"/>
      <c r="AK25" s="395"/>
      <c r="AL25" s="395"/>
      <c r="AM25" s="395"/>
      <c r="AN25" s="395"/>
      <c r="AO25" s="395"/>
    </row>
    <row r="26" spans="1:41" ht="15" x14ac:dyDescent="0.25">
      <c r="A26" s="415"/>
      <c r="B26" s="395"/>
      <c r="C26" s="395"/>
      <c r="D26" s="395"/>
      <c r="E26" s="395"/>
      <c r="F26" s="395"/>
      <c r="G26" s="395"/>
      <c r="H26" s="263"/>
      <c r="I26" s="264"/>
      <c r="J26" s="22"/>
      <c r="K26" s="264"/>
      <c r="L26" s="22"/>
      <c r="M26" s="264"/>
      <c r="N26" s="22"/>
      <c r="O26" s="264"/>
      <c r="P26" s="22"/>
      <c r="Q26" s="395"/>
      <c r="R26" s="395"/>
      <c r="S26" s="395"/>
      <c r="T26" s="395"/>
      <c r="U26" s="395"/>
      <c r="V26" s="395"/>
      <c r="W26" s="395"/>
      <c r="X26" s="395"/>
      <c r="Y26" s="395"/>
      <c r="Z26" s="395"/>
      <c r="AA26" s="395"/>
      <c r="AB26" s="395"/>
      <c r="AC26" s="395"/>
      <c r="AD26" s="395"/>
      <c r="AE26" s="395"/>
      <c r="AF26" s="395"/>
      <c r="AG26" s="395"/>
      <c r="AH26" s="395"/>
      <c r="AI26" s="395"/>
      <c r="AJ26" s="395"/>
      <c r="AK26" s="395"/>
      <c r="AL26" s="395"/>
      <c r="AM26" s="395"/>
      <c r="AN26" s="395"/>
      <c r="AO26" s="395"/>
    </row>
    <row r="27" spans="1:41" ht="15" x14ac:dyDescent="0.25">
      <c r="A27" s="225"/>
      <c r="B27" s="395"/>
      <c r="C27" s="395"/>
      <c r="D27" s="395"/>
      <c r="E27" s="395"/>
      <c r="F27" s="395"/>
      <c r="G27" s="395"/>
      <c r="H27" s="263"/>
      <c r="I27" s="264"/>
      <c r="J27" s="22"/>
      <c r="K27" s="264"/>
      <c r="L27" s="22"/>
      <c r="M27" s="264"/>
      <c r="N27" s="22"/>
      <c r="O27" s="264"/>
      <c r="P27" s="22"/>
      <c r="Q27" s="395"/>
      <c r="R27" s="395"/>
      <c r="S27" s="395"/>
      <c r="T27" s="395"/>
      <c r="U27" s="395"/>
      <c r="V27" s="395"/>
      <c r="W27" s="395"/>
      <c r="X27" s="395"/>
      <c r="Y27" s="395"/>
      <c r="Z27" s="395"/>
      <c r="AA27" s="395"/>
      <c r="AB27" s="395"/>
      <c r="AC27" s="395"/>
      <c r="AD27" s="395"/>
      <c r="AE27" s="395"/>
      <c r="AF27" s="395"/>
      <c r="AG27" s="395"/>
      <c r="AH27" s="395"/>
      <c r="AI27" s="395"/>
      <c r="AJ27" s="395"/>
      <c r="AK27" s="395"/>
      <c r="AL27" s="395"/>
      <c r="AM27" s="395"/>
      <c r="AN27" s="395"/>
      <c r="AO27" s="395"/>
    </row>
    <row r="28" spans="1:41" ht="13.5" thickBot="1" x14ac:dyDescent="0.25">
      <c r="A28" s="395"/>
      <c r="B28" s="395"/>
      <c r="C28" s="395"/>
      <c r="D28" s="395"/>
      <c r="E28" s="395"/>
      <c r="F28" s="395"/>
      <c r="G28" s="395"/>
      <c r="H28" s="395"/>
      <c r="I28" s="395"/>
      <c r="J28" s="417"/>
      <c r="K28" s="395"/>
      <c r="L28" s="417"/>
      <c r="M28" s="395"/>
      <c r="N28" s="417"/>
      <c r="O28" s="395"/>
      <c r="P28" s="417"/>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5"/>
      <c r="AN28" s="395"/>
      <c r="AO28" s="395"/>
    </row>
    <row r="29" spans="1:41" ht="13.5" thickBot="1" x14ac:dyDescent="0.25">
      <c r="A29" s="395"/>
      <c r="B29" s="395"/>
      <c r="C29" s="395"/>
      <c r="D29" s="395"/>
      <c r="E29" s="395"/>
      <c r="F29" s="395"/>
      <c r="G29" s="395"/>
      <c r="H29" s="209"/>
      <c r="I29" s="210"/>
      <c r="J29" s="211"/>
      <c r="K29" s="210"/>
      <c r="L29" s="211"/>
      <c r="M29" s="210"/>
      <c r="N29" s="211"/>
      <c r="O29" s="210"/>
      <c r="P29" s="212"/>
      <c r="Q29" s="209"/>
      <c r="R29" s="395"/>
      <c r="S29" s="395"/>
      <c r="T29" s="395"/>
      <c r="U29" s="395"/>
      <c r="V29" s="395"/>
      <c r="W29" s="395"/>
      <c r="X29" s="395"/>
      <c r="Y29" s="395"/>
      <c r="Z29" s="395"/>
      <c r="AA29" s="395"/>
      <c r="AB29" s="395"/>
      <c r="AC29" s="395"/>
      <c r="AD29" s="395"/>
      <c r="AE29" s="395"/>
      <c r="AF29" s="395"/>
      <c r="AG29" s="395"/>
      <c r="AH29" s="395"/>
      <c r="AI29" s="395"/>
      <c r="AJ29" s="395"/>
      <c r="AK29" s="395"/>
      <c r="AL29" s="395"/>
      <c r="AM29" s="395"/>
      <c r="AN29" s="395"/>
      <c r="AO29" s="395"/>
    </row>
    <row r="30" spans="1:41" ht="14.25" thickTop="1" thickBot="1" x14ac:dyDescent="0.25">
      <c r="A30" s="395"/>
      <c r="B30" s="395"/>
      <c r="C30" s="395"/>
      <c r="D30" s="395"/>
      <c r="E30" s="395"/>
      <c r="F30" s="395"/>
      <c r="G30" s="395"/>
      <c r="H30" s="213"/>
      <c r="I30" s="214"/>
      <c r="J30" s="215"/>
      <c r="K30" s="214"/>
      <c r="L30" s="215"/>
      <c r="M30" s="214"/>
      <c r="N30" s="215"/>
      <c r="O30" s="214"/>
      <c r="P30" s="215"/>
      <c r="Q30" s="213"/>
      <c r="R30" s="395"/>
      <c r="S30" s="395"/>
      <c r="T30" s="395"/>
      <c r="U30" s="395"/>
      <c r="V30" s="395"/>
      <c r="W30" s="395"/>
      <c r="X30" s="395"/>
      <c r="Y30" s="395"/>
      <c r="Z30" s="395"/>
      <c r="AA30" s="395"/>
      <c r="AB30" s="395"/>
      <c r="AC30" s="395"/>
      <c r="AD30" s="395"/>
      <c r="AE30" s="395"/>
      <c r="AF30" s="395"/>
      <c r="AG30" s="395"/>
      <c r="AH30" s="395"/>
      <c r="AI30" s="395"/>
      <c r="AJ30" s="395"/>
      <c r="AK30" s="395"/>
      <c r="AL30" s="395"/>
      <c r="AM30" s="395"/>
      <c r="AN30" s="395"/>
      <c r="AO30" s="395"/>
    </row>
    <row r="31" spans="1:41" ht="13.5" thickBot="1" x14ac:dyDescent="0.25">
      <c r="A31" s="395"/>
      <c r="B31" s="395"/>
      <c r="C31" s="395"/>
      <c r="D31" s="395"/>
      <c r="E31" s="395"/>
      <c r="F31" s="395"/>
      <c r="G31" s="395"/>
      <c r="H31" s="216"/>
      <c r="I31" s="217"/>
      <c r="J31" s="218"/>
      <c r="K31" s="217"/>
      <c r="L31" s="218"/>
      <c r="M31" s="217"/>
      <c r="N31" s="218"/>
      <c r="O31" s="217"/>
      <c r="P31" s="218"/>
      <c r="Q31" s="216"/>
      <c r="R31" s="394"/>
      <c r="S31" s="394"/>
      <c r="T31" s="394"/>
      <c r="U31" s="394"/>
      <c r="V31" s="395"/>
      <c r="W31" s="395"/>
      <c r="X31" s="395"/>
      <c r="Y31" s="395"/>
      <c r="Z31" s="395"/>
      <c r="AA31" s="395"/>
      <c r="AB31" s="394"/>
      <c r="AC31" s="394"/>
      <c r="AD31" s="394"/>
      <c r="AE31" s="395"/>
      <c r="AF31" s="395"/>
      <c r="AG31" s="394"/>
      <c r="AH31" s="394"/>
      <c r="AI31" s="394"/>
      <c r="AJ31" s="395"/>
      <c r="AK31" s="395"/>
      <c r="AL31" s="394"/>
      <c r="AM31" s="394"/>
      <c r="AN31" s="394"/>
      <c r="AO31" s="394"/>
    </row>
    <row r="32" spans="1:41" ht="13.5" thickBot="1" x14ac:dyDescent="0.25">
      <c r="A32" s="395"/>
      <c r="B32" s="395"/>
      <c r="C32" s="395"/>
      <c r="D32" s="395"/>
      <c r="E32" s="395"/>
      <c r="F32" s="395"/>
      <c r="G32" s="395"/>
      <c r="H32" s="216"/>
      <c r="I32" s="219"/>
      <c r="J32" s="220"/>
      <c r="K32" s="219"/>
      <c r="L32" s="220"/>
      <c r="M32" s="219"/>
      <c r="N32" s="220"/>
      <c r="O32" s="219"/>
      <c r="P32" s="220"/>
      <c r="Q32" s="216"/>
      <c r="R32" s="394"/>
      <c r="S32" s="394"/>
      <c r="T32" s="394"/>
      <c r="U32" s="444"/>
      <c r="V32" s="395"/>
      <c r="W32" s="395"/>
      <c r="X32" s="395"/>
      <c r="Y32" s="395"/>
      <c r="Z32" s="395"/>
      <c r="AA32" s="395"/>
      <c r="AB32" s="394"/>
      <c r="AC32" s="394"/>
      <c r="AD32" s="394"/>
      <c r="AE32" s="395"/>
      <c r="AF32" s="395"/>
      <c r="AG32" s="394"/>
      <c r="AH32" s="394"/>
      <c r="AI32" s="394"/>
      <c r="AJ32" s="395"/>
      <c r="AK32" s="395"/>
      <c r="AL32" s="394"/>
      <c r="AM32" s="394"/>
      <c r="AN32" s="394"/>
      <c r="AO32" s="394"/>
    </row>
    <row r="33" spans="1:41" ht="13.5" thickBot="1" x14ac:dyDescent="0.25">
      <c r="A33" s="395"/>
      <c r="B33" s="395"/>
      <c r="C33" s="395"/>
      <c r="D33" s="395"/>
      <c r="E33" s="395"/>
      <c r="F33" s="395"/>
      <c r="G33" s="395"/>
      <c r="H33" s="216"/>
      <c r="I33" s="217"/>
      <c r="J33" s="218"/>
      <c r="K33" s="217"/>
      <c r="L33" s="218"/>
      <c r="M33" s="221"/>
      <c r="N33" s="218"/>
      <c r="O33" s="217"/>
      <c r="P33" s="218"/>
      <c r="Q33" s="216"/>
      <c r="R33" s="394"/>
      <c r="S33" s="394"/>
      <c r="T33" s="394"/>
      <c r="U33" s="444"/>
      <c r="V33" s="395"/>
      <c r="W33" s="395"/>
      <c r="X33" s="395"/>
      <c r="Y33" s="395"/>
      <c r="Z33" s="395"/>
      <c r="AA33" s="395"/>
      <c r="AB33" s="394"/>
      <c r="AC33" s="394"/>
      <c r="AD33" s="394"/>
      <c r="AE33" s="395"/>
      <c r="AF33" s="395"/>
      <c r="AG33" s="394"/>
      <c r="AH33" s="394"/>
      <c r="AI33" s="394"/>
      <c r="AJ33" s="395"/>
      <c r="AK33" s="395"/>
      <c r="AL33" s="394"/>
      <c r="AM33" s="394"/>
      <c r="AN33" s="394"/>
      <c r="AO33" s="394"/>
    </row>
    <row r="34" spans="1:41" ht="13.5" thickBot="1" x14ac:dyDescent="0.25">
      <c r="A34" s="415"/>
      <c r="B34" s="395"/>
      <c r="C34" s="395"/>
      <c r="D34" s="395"/>
      <c r="E34" s="395"/>
      <c r="F34" s="395"/>
      <c r="G34" s="395"/>
      <c r="H34" s="216"/>
      <c r="I34" s="219"/>
      <c r="J34" s="220"/>
      <c r="K34" s="219"/>
      <c r="L34" s="220"/>
      <c r="M34" s="219"/>
      <c r="N34" s="220"/>
      <c r="O34" s="219"/>
      <c r="P34" s="220"/>
      <c r="Q34" s="216"/>
      <c r="R34" s="394"/>
      <c r="S34" s="394"/>
      <c r="T34" s="394"/>
      <c r="U34" s="444"/>
      <c r="V34" s="395"/>
      <c r="W34" s="395"/>
      <c r="X34" s="395"/>
      <c r="Y34" s="395"/>
      <c r="Z34" s="395"/>
      <c r="AA34" s="395"/>
      <c r="AB34" s="394"/>
      <c r="AC34" s="394"/>
      <c r="AD34" s="394"/>
      <c r="AE34" s="395"/>
      <c r="AF34" s="395"/>
      <c r="AG34" s="394"/>
      <c r="AH34" s="394"/>
      <c r="AI34" s="394"/>
      <c r="AJ34" s="395"/>
      <c r="AK34" s="395"/>
      <c r="AL34" s="394"/>
      <c r="AM34" s="394"/>
      <c r="AN34" s="394"/>
      <c r="AO34" s="394"/>
    </row>
    <row r="35" spans="1:41" ht="13.5" thickBot="1" x14ac:dyDescent="0.25">
      <c r="A35" s="415"/>
      <c r="B35" s="395"/>
      <c r="C35" s="395"/>
      <c r="D35" s="395"/>
      <c r="E35" s="395"/>
      <c r="F35" s="395"/>
      <c r="G35" s="395"/>
      <c r="H35" s="216"/>
      <c r="I35" s="221"/>
      <c r="J35" s="218"/>
      <c r="K35" s="217"/>
      <c r="L35" s="218"/>
      <c r="M35" s="217"/>
      <c r="N35" s="218"/>
      <c r="O35" s="217"/>
      <c r="P35" s="218"/>
      <c r="Q35" s="216"/>
      <c r="R35" s="394"/>
      <c r="S35" s="394"/>
      <c r="T35" s="394"/>
      <c r="U35" s="444"/>
      <c r="V35" s="395"/>
      <c r="W35" s="475"/>
      <c r="X35" s="475"/>
      <c r="Y35" s="475"/>
      <c r="Z35" s="475"/>
      <c r="AA35" s="475"/>
      <c r="AB35" s="476"/>
      <c r="AC35" s="476"/>
      <c r="AD35" s="476"/>
      <c r="AE35" s="475"/>
      <c r="AF35" s="475"/>
      <c r="AG35" s="476"/>
      <c r="AH35" s="476"/>
      <c r="AI35" s="476"/>
      <c r="AJ35" s="475"/>
      <c r="AK35" s="395"/>
      <c r="AL35" s="394"/>
      <c r="AM35" s="394"/>
      <c r="AN35" s="394"/>
      <c r="AO35" s="394"/>
    </row>
    <row r="36" spans="1:41" ht="13.5" thickBot="1" x14ac:dyDescent="0.25">
      <c r="A36" s="415"/>
      <c r="B36" s="395"/>
      <c r="C36" s="395"/>
      <c r="D36" s="395"/>
      <c r="E36" s="395"/>
      <c r="F36" s="395"/>
      <c r="G36" s="395"/>
      <c r="H36" s="216"/>
      <c r="I36" s="219"/>
      <c r="J36" s="220"/>
      <c r="K36" s="219"/>
      <c r="L36" s="220"/>
      <c r="M36" s="219"/>
      <c r="N36" s="220"/>
      <c r="O36" s="219"/>
      <c r="P36" s="220"/>
      <c r="Q36" s="216"/>
      <c r="R36" s="394"/>
      <c r="S36" s="394"/>
      <c r="T36" s="394"/>
      <c r="U36" s="444"/>
      <c r="V36" s="395"/>
      <c r="W36" s="475"/>
      <c r="X36" s="475"/>
      <c r="Y36" s="475"/>
      <c r="Z36" s="475"/>
      <c r="AA36" s="475"/>
      <c r="AB36" s="476"/>
      <c r="AC36" s="476"/>
      <c r="AD36" s="476"/>
      <c r="AE36" s="475"/>
      <c r="AF36" s="475"/>
      <c r="AG36" s="476"/>
      <c r="AH36" s="476"/>
      <c r="AI36" s="476"/>
      <c r="AJ36" s="475"/>
      <c r="AK36" s="395"/>
      <c r="AL36" s="394"/>
      <c r="AM36" s="394"/>
      <c r="AN36" s="394"/>
      <c r="AO36" s="394"/>
    </row>
    <row r="37" spans="1:41" ht="13.5" thickBot="1" x14ac:dyDescent="0.25">
      <c r="A37" s="415"/>
      <c r="B37" s="395"/>
      <c r="C37" s="395"/>
      <c r="D37" s="395"/>
      <c r="E37" s="395"/>
      <c r="F37" s="395"/>
      <c r="G37" s="395"/>
      <c r="H37" s="216"/>
      <c r="I37" s="217"/>
      <c r="J37" s="218"/>
      <c r="K37" s="217"/>
      <c r="L37" s="218"/>
      <c r="M37" s="217"/>
      <c r="N37" s="218"/>
      <c r="O37" s="217"/>
      <c r="P37" s="218"/>
      <c r="Q37" s="216"/>
      <c r="R37" s="394"/>
      <c r="S37" s="394"/>
      <c r="T37" s="394"/>
      <c r="U37" s="444"/>
      <c r="V37" s="395"/>
      <c r="W37" s="475"/>
      <c r="X37" s="475"/>
      <c r="Y37" s="475"/>
      <c r="Z37" s="475"/>
      <c r="AA37" s="475"/>
      <c r="AB37" s="476"/>
      <c r="AC37" s="476"/>
      <c r="AD37" s="476"/>
      <c r="AE37" s="475"/>
      <c r="AF37" s="475"/>
      <c r="AG37" s="476"/>
      <c r="AH37" s="476"/>
      <c r="AI37" s="476"/>
      <c r="AJ37" s="475"/>
      <c r="AK37" s="395"/>
      <c r="AL37" s="394"/>
      <c r="AM37" s="394"/>
      <c r="AN37" s="394"/>
      <c r="AO37" s="394"/>
    </row>
    <row r="38" spans="1:41" ht="13.5" thickBot="1" x14ac:dyDescent="0.25">
      <c r="A38" s="415"/>
      <c r="B38" s="395"/>
      <c r="C38" s="395"/>
      <c r="D38" s="395"/>
      <c r="E38" s="395"/>
      <c r="F38" s="395"/>
      <c r="G38" s="395"/>
      <c r="H38" s="216"/>
      <c r="I38" s="219"/>
      <c r="J38" s="220"/>
      <c r="K38" s="219"/>
      <c r="L38" s="220"/>
      <c r="M38" s="219"/>
      <c r="N38" s="220"/>
      <c r="O38" s="219"/>
      <c r="P38" s="220"/>
      <c r="Q38" s="216"/>
      <c r="R38" s="394"/>
      <c r="S38" s="394"/>
      <c r="T38" s="394"/>
      <c r="U38" s="444"/>
      <c r="V38" s="395"/>
      <c r="W38" s="395"/>
      <c r="X38" s="395"/>
      <c r="Y38" s="395"/>
      <c r="Z38" s="395"/>
      <c r="AA38" s="395"/>
      <c r="AB38" s="394"/>
      <c r="AC38" s="394"/>
      <c r="AD38" s="394"/>
      <c r="AE38" s="395"/>
      <c r="AF38" s="395"/>
      <c r="AG38" s="394"/>
      <c r="AH38" s="394"/>
      <c r="AI38" s="394"/>
      <c r="AJ38" s="395"/>
      <c r="AK38" s="395"/>
      <c r="AL38" s="394"/>
      <c r="AM38" s="394"/>
      <c r="AN38" s="394"/>
      <c r="AO38" s="394"/>
    </row>
    <row r="39" spans="1:41" ht="13.5" thickBot="1" x14ac:dyDescent="0.25">
      <c r="A39" s="415"/>
      <c r="B39" s="395"/>
      <c r="C39" s="395"/>
      <c r="D39" s="395"/>
      <c r="E39" s="395"/>
      <c r="F39" s="395"/>
      <c r="G39" s="395"/>
      <c r="H39" s="216"/>
      <c r="I39" s="217"/>
      <c r="J39" s="218"/>
      <c r="K39" s="217"/>
      <c r="L39" s="218"/>
      <c r="M39" s="217"/>
      <c r="N39" s="218"/>
      <c r="O39" s="217"/>
      <c r="P39" s="218"/>
      <c r="Q39" s="216"/>
      <c r="R39" s="394"/>
      <c r="S39" s="394"/>
      <c r="T39" s="394"/>
      <c r="U39" s="444"/>
      <c r="V39" s="395"/>
      <c r="W39" s="395"/>
      <c r="X39" s="395"/>
      <c r="Y39" s="395"/>
      <c r="Z39" s="395"/>
      <c r="AA39" s="395"/>
      <c r="AB39" s="394"/>
      <c r="AC39" s="394"/>
      <c r="AD39" s="394"/>
      <c r="AE39" s="395"/>
      <c r="AF39" s="395"/>
      <c r="AG39" s="394"/>
      <c r="AH39" s="394"/>
      <c r="AI39" s="394"/>
      <c r="AJ39" s="395"/>
      <c r="AK39" s="395"/>
      <c r="AL39" s="394"/>
      <c r="AM39" s="394"/>
      <c r="AN39" s="394"/>
      <c r="AO39" s="394"/>
    </row>
    <row r="40" spans="1:41" ht="13.5" thickBot="1" x14ac:dyDescent="0.25">
      <c r="A40" s="415"/>
      <c r="B40" s="395"/>
      <c r="C40" s="395"/>
      <c r="D40" s="395"/>
      <c r="E40" s="395"/>
      <c r="F40" s="395"/>
      <c r="G40" s="395"/>
      <c r="H40" s="216"/>
      <c r="I40" s="222"/>
      <c r="J40" s="223"/>
      <c r="K40" s="222"/>
      <c r="L40" s="223"/>
      <c r="M40" s="222"/>
      <c r="N40" s="223"/>
      <c r="O40" s="222"/>
      <c r="P40" s="223"/>
      <c r="Q40" s="216"/>
      <c r="R40" s="394"/>
      <c r="S40" s="394"/>
      <c r="T40" s="394"/>
      <c r="U40" s="444"/>
      <c r="V40" s="395"/>
      <c r="W40" s="395"/>
      <c r="X40" s="395"/>
      <c r="Y40" s="395"/>
      <c r="Z40" s="395"/>
      <c r="AA40" s="395"/>
      <c r="AB40" s="395"/>
      <c r="AC40" s="395"/>
      <c r="AD40" s="395"/>
      <c r="AE40" s="395"/>
      <c r="AF40" s="395"/>
      <c r="AG40" s="395"/>
      <c r="AH40" s="395"/>
      <c r="AI40" s="395"/>
      <c r="AJ40" s="395"/>
      <c r="AK40" s="395"/>
      <c r="AL40" s="395"/>
      <c r="AM40" s="395"/>
      <c r="AN40" s="395"/>
      <c r="AO40" s="395"/>
    </row>
    <row r="41" spans="1:41" x14ac:dyDescent="0.2">
      <c r="A41" s="415"/>
      <c r="B41" s="395"/>
      <c r="C41" s="395"/>
      <c r="D41" s="395"/>
      <c r="E41" s="395"/>
      <c r="F41" s="395"/>
      <c r="G41" s="395"/>
      <c r="H41" s="395"/>
      <c r="I41" s="395"/>
      <c r="J41" s="417"/>
      <c r="K41" s="395"/>
      <c r="L41" s="417"/>
      <c r="M41" s="395"/>
      <c r="N41" s="417"/>
      <c r="O41" s="395"/>
      <c r="P41" s="395"/>
      <c r="Q41" s="395"/>
      <c r="R41" s="395"/>
      <c r="S41" s="395"/>
      <c r="T41" s="395"/>
      <c r="U41" s="395"/>
      <c r="V41" s="395"/>
      <c r="W41" s="395"/>
      <c r="X41" s="395"/>
      <c r="Y41" s="395"/>
      <c r="Z41" s="395"/>
      <c r="AA41" s="395"/>
      <c r="AB41" s="395"/>
      <c r="AC41" s="395"/>
      <c r="AD41" s="395"/>
      <c r="AE41" s="395"/>
      <c r="AF41" s="395"/>
      <c r="AG41" s="395"/>
      <c r="AH41" s="395"/>
      <c r="AI41" s="395"/>
      <c r="AJ41" s="395"/>
      <c r="AK41" s="395"/>
      <c r="AL41" s="395"/>
      <c r="AM41" s="395"/>
      <c r="AN41" s="395"/>
      <c r="AO41" s="395"/>
    </row>
    <row r="42" spans="1:41" ht="13.5" thickBot="1" x14ac:dyDescent="0.25">
      <c r="A42" s="415"/>
      <c r="B42" s="395"/>
      <c r="C42" s="395"/>
      <c r="D42" s="395"/>
      <c r="E42" s="395"/>
      <c r="F42" s="395"/>
      <c r="G42" s="395"/>
      <c r="H42" s="395"/>
      <c r="I42" s="395"/>
      <c r="J42" s="395"/>
      <c r="K42" s="395"/>
      <c r="L42" s="395"/>
      <c r="M42" s="395"/>
      <c r="N42" s="395"/>
      <c r="O42" s="395"/>
      <c r="P42" s="395"/>
      <c r="Q42" s="395"/>
      <c r="R42" s="395"/>
      <c r="S42" s="395"/>
      <c r="T42" s="395"/>
      <c r="U42" s="395"/>
      <c r="V42" s="395"/>
      <c r="W42" s="395"/>
      <c r="X42" s="395"/>
      <c r="Y42" s="395"/>
      <c r="Z42" s="395"/>
      <c r="AA42" s="395"/>
      <c r="AB42" s="395"/>
      <c r="AC42" s="395"/>
      <c r="AD42" s="395"/>
      <c r="AE42" s="395"/>
      <c r="AF42" s="395"/>
      <c r="AG42" s="395"/>
      <c r="AH42" s="395"/>
      <c r="AI42" s="395"/>
      <c r="AJ42" s="395"/>
      <c r="AK42" s="395"/>
      <c r="AL42" s="395"/>
      <c r="AM42" s="395"/>
      <c r="AN42" s="395"/>
      <c r="AO42" s="395"/>
    </row>
    <row r="43" spans="1:41" ht="13.5" thickBot="1" x14ac:dyDescent="0.25">
      <c r="A43" s="415"/>
      <c r="B43" s="395"/>
      <c r="C43" s="395"/>
      <c r="D43" s="395"/>
      <c r="E43" s="395"/>
      <c r="F43" s="395"/>
      <c r="G43" s="395"/>
      <c r="H43" s="216"/>
      <c r="I43" s="395"/>
      <c r="J43" s="395"/>
      <c r="K43" s="217"/>
      <c r="L43" s="218"/>
      <c r="M43" s="395"/>
      <c r="N43" s="395"/>
      <c r="O43" s="395"/>
      <c r="P43" s="395"/>
      <c r="Q43" s="395"/>
      <c r="R43" s="395"/>
      <c r="S43" s="395"/>
      <c r="T43" s="395"/>
      <c r="U43" s="395"/>
      <c r="V43" s="395"/>
      <c r="W43" s="395"/>
      <c r="X43" s="395"/>
      <c r="Y43" s="395"/>
      <c r="Z43" s="395"/>
      <c r="AA43" s="395"/>
      <c r="AB43" s="395"/>
      <c r="AC43" s="395"/>
      <c r="AD43" s="395"/>
      <c r="AE43" s="395"/>
      <c r="AF43" s="395"/>
      <c r="AG43" s="395"/>
      <c r="AH43" s="395"/>
      <c r="AI43" s="395"/>
      <c r="AJ43" s="395"/>
      <c r="AK43" s="395"/>
      <c r="AL43" s="395"/>
      <c r="AM43" s="395"/>
      <c r="AN43" s="395"/>
      <c r="AO43" s="395"/>
    </row>
    <row r="44" spans="1:41" ht="13.5" thickBot="1" x14ac:dyDescent="0.25">
      <c r="A44" s="415"/>
      <c r="B44" s="395"/>
      <c r="C44" s="395"/>
      <c r="D44" s="395"/>
      <c r="E44" s="395"/>
      <c r="F44" s="395"/>
      <c r="G44" s="395"/>
      <c r="H44" s="216"/>
      <c r="I44" s="395"/>
      <c r="J44" s="395"/>
      <c r="K44" s="219"/>
      <c r="L44" s="220"/>
      <c r="M44" s="395"/>
      <c r="N44" s="395"/>
      <c r="O44" s="395"/>
      <c r="P44" s="395"/>
      <c r="Q44" s="395"/>
      <c r="R44" s="395"/>
      <c r="S44" s="395"/>
      <c r="T44" s="395"/>
      <c r="U44" s="395"/>
      <c r="V44" s="395"/>
      <c r="W44" s="395"/>
      <c r="X44" s="395"/>
      <c r="Y44" s="395"/>
      <c r="Z44" s="395"/>
      <c r="AA44" s="395"/>
      <c r="AB44" s="395"/>
      <c r="AC44" s="395"/>
      <c r="AD44" s="395"/>
      <c r="AE44" s="395"/>
      <c r="AF44" s="395"/>
      <c r="AG44" s="395"/>
      <c r="AH44" s="395"/>
      <c r="AI44" s="395"/>
      <c r="AJ44" s="395"/>
      <c r="AK44" s="395"/>
      <c r="AL44" s="395"/>
      <c r="AM44" s="395"/>
      <c r="AN44" s="395"/>
      <c r="AO44" s="395"/>
    </row>
    <row r="45" spans="1:41" ht="13.5" thickBot="1" x14ac:dyDescent="0.25">
      <c r="A45" s="415"/>
      <c r="B45" s="395"/>
      <c r="C45" s="395"/>
      <c r="D45" s="395"/>
      <c r="E45" s="395"/>
      <c r="F45" s="395"/>
      <c r="G45" s="395"/>
      <c r="H45" s="216"/>
      <c r="I45" s="395"/>
      <c r="J45" s="395"/>
      <c r="K45" s="217"/>
      <c r="L45" s="218"/>
      <c r="M45" s="395"/>
      <c r="N45" s="395"/>
      <c r="O45" s="395"/>
      <c r="P45" s="395"/>
      <c r="Q45" s="395"/>
      <c r="R45" s="395"/>
      <c r="S45" s="395"/>
      <c r="T45" s="395"/>
      <c r="U45" s="395"/>
      <c r="V45" s="395"/>
      <c r="W45" s="395"/>
      <c r="X45" s="395"/>
      <c r="Y45" s="395"/>
      <c r="Z45" s="395"/>
      <c r="AA45" s="395"/>
      <c r="AB45" s="395"/>
      <c r="AC45" s="395"/>
      <c r="AD45" s="395"/>
      <c r="AE45" s="395"/>
      <c r="AF45" s="395"/>
      <c r="AG45" s="395"/>
      <c r="AH45" s="395"/>
      <c r="AI45" s="395"/>
      <c r="AJ45" s="395"/>
      <c r="AK45" s="395"/>
      <c r="AL45" s="395"/>
      <c r="AM45" s="395"/>
      <c r="AN45" s="395"/>
      <c r="AO45" s="395"/>
    </row>
    <row r="46" spans="1:41" ht="13.5" thickBot="1" x14ac:dyDescent="0.25">
      <c r="A46" s="415"/>
      <c r="B46" s="395"/>
      <c r="C46" s="395"/>
      <c r="D46" s="395"/>
      <c r="E46" s="395"/>
      <c r="F46" s="395"/>
      <c r="G46" s="395"/>
      <c r="H46" s="216"/>
      <c r="I46" s="395"/>
      <c r="J46" s="395"/>
      <c r="K46" s="219"/>
      <c r="L46" s="220"/>
      <c r="M46" s="395"/>
      <c r="N46" s="395"/>
      <c r="O46" s="395"/>
      <c r="P46" s="395"/>
      <c r="Q46" s="395"/>
      <c r="R46" s="395"/>
      <c r="S46" s="395"/>
      <c r="T46" s="395"/>
      <c r="U46" s="395"/>
      <c r="V46" s="395"/>
      <c r="W46" s="395"/>
      <c r="X46" s="395"/>
      <c r="Y46" s="395"/>
      <c r="Z46" s="395"/>
      <c r="AA46" s="395"/>
      <c r="AB46" s="395"/>
      <c r="AC46" s="395"/>
      <c r="AD46" s="395"/>
      <c r="AE46" s="395"/>
      <c r="AF46" s="395"/>
      <c r="AG46" s="395"/>
      <c r="AH46" s="395"/>
      <c r="AI46" s="395"/>
      <c r="AJ46" s="395"/>
      <c r="AK46" s="395"/>
      <c r="AL46" s="395"/>
      <c r="AM46" s="395"/>
      <c r="AN46" s="395"/>
      <c r="AO46" s="395"/>
    </row>
    <row r="47" spans="1:41" ht="13.5" thickBot="1" x14ac:dyDescent="0.25">
      <c r="A47" s="415"/>
      <c r="B47" s="395"/>
      <c r="C47" s="395"/>
      <c r="D47" s="395"/>
      <c r="E47" s="395"/>
      <c r="F47" s="395"/>
      <c r="G47" s="395"/>
      <c r="H47" s="216"/>
      <c r="I47" s="395"/>
      <c r="J47" s="395"/>
      <c r="K47" s="217"/>
      <c r="L47" s="218"/>
      <c r="M47" s="395"/>
      <c r="N47" s="395"/>
      <c r="O47" s="395"/>
      <c r="P47" s="395"/>
      <c r="Q47" s="395"/>
      <c r="R47" s="395"/>
      <c r="S47" s="395"/>
      <c r="T47" s="395"/>
      <c r="U47" s="395"/>
      <c r="V47" s="395"/>
      <c r="W47" s="395"/>
      <c r="X47" s="395"/>
      <c r="Y47" s="395"/>
      <c r="Z47" s="395"/>
      <c r="AA47" s="395"/>
      <c r="AB47" s="395"/>
      <c r="AC47" s="395"/>
      <c r="AD47" s="395"/>
      <c r="AE47" s="395"/>
      <c r="AF47" s="395"/>
      <c r="AG47" s="395"/>
      <c r="AH47" s="395"/>
      <c r="AI47" s="395"/>
      <c r="AJ47" s="395"/>
      <c r="AK47" s="395"/>
      <c r="AL47" s="395"/>
      <c r="AM47" s="395"/>
      <c r="AN47" s="395"/>
      <c r="AO47" s="395"/>
    </row>
    <row r="48" spans="1:41" ht="13.5" thickBot="1" x14ac:dyDescent="0.25">
      <c r="A48" s="415"/>
      <c r="B48" s="395"/>
      <c r="C48" s="395"/>
      <c r="D48" s="395"/>
      <c r="E48" s="395"/>
      <c r="F48" s="395"/>
      <c r="G48" s="395"/>
      <c r="H48" s="216"/>
      <c r="I48" s="395"/>
      <c r="J48" s="395"/>
      <c r="K48" s="219"/>
      <c r="L48" s="220"/>
      <c r="M48" s="395"/>
      <c r="N48" s="395"/>
      <c r="O48" s="395"/>
      <c r="P48" s="395"/>
      <c r="Q48" s="395"/>
      <c r="R48" s="395"/>
      <c r="S48" s="395"/>
      <c r="T48" s="395"/>
      <c r="U48" s="395"/>
      <c r="V48" s="395"/>
      <c r="W48" s="395"/>
      <c r="X48" s="395"/>
      <c r="Y48" s="395"/>
      <c r="Z48" s="395"/>
      <c r="AA48" s="395"/>
      <c r="AB48" s="395"/>
      <c r="AC48" s="395"/>
      <c r="AD48" s="395"/>
      <c r="AE48" s="395"/>
      <c r="AF48" s="395"/>
      <c r="AG48" s="395"/>
      <c r="AH48" s="395"/>
      <c r="AI48" s="395"/>
      <c r="AJ48" s="395"/>
      <c r="AK48" s="395"/>
      <c r="AL48" s="395"/>
      <c r="AM48" s="395"/>
      <c r="AN48" s="395"/>
      <c r="AO48" s="395"/>
    </row>
    <row r="49" spans="1:12" ht="13.5" thickBot="1" x14ac:dyDescent="0.25">
      <c r="A49" s="415"/>
      <c r="B49" s="395"/>
      <c r="C49" s="395"/>
      <c r="D49" s="395"/>
      <c r="E49" s="395"/>
      <c r="F49" s="395"/>
      <c r="G49" s="395"/>
      <c r="H49" s="216"/>
      <c r="I49" s="395"/>
      <c r="J49" s="395"/>
      <c r="K49" s="217"/>
      <c r="L49" s="218"/>
    </row>
    <row r="50" spans="1:12" ht="13.5" thickBot="1" x14ac:dyDescent="0.25">
      <c r="A50" s="415"/>
      <c r="B50" s="395"/>
      <c r="C50" s="395"/>
      <c r="D50" s="395"/>
      <c r="E50" s="395"/>
      <c r="F50" s="395"/>
      <c r="G50" s="395"/>
      <c r="H50" s="216"/>
      <c r="I50" s="395"/>
      <c r="J50" s="395"/>
      <c r="K50" s="219"/>
      <c r="L50" s="220"/>
    </row>
    <row r="51" spans="1:12" ht="13.5" thickBot="1" x14ac:dyDescent="0.25">
      <c r="A51" s="415"/>
      <c r="B51" s="395"/>
      <c r="C51" s="395"/>
      <c r="D51" s="395"/>
      <c r="E51" s="395"/>
      <c r="F51" s="395"/>
      <c r="G51" s="395"/>
      <c r="H51" s="216"/>
      <c r="I51" s="395"/>
      <c r="J51" s="395"/>
      <c r="K51" s="217"/>
      <c r="L51" s="218"/>
    </row>
    <row r="52" spans="1:12" ht="13.5" thickBot="1" x14ac:dyDescent="0.25">
      <c r="A52" s="415"/>
      <c r="B52" s="395"/>
      <c r="C52" s="395"/>
      <c r="D52" s="395"/>
      <c r="E52" s="395"/>
      <c r="F52" s="395"/>
      <c r="G52" s="395"/>
      <c r="H52" s="216"/>
      <c r="I52" s="395"/>
      <c r="J52" s="395"/>
      <c r="K52" s="222"/>
      <c r="L52" s="223"/>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75CBE-CE7A-4496-B726-2FD6FFD9FF4B}">
  <dimension ref="A1:AL189"/>
  <sheetViews>
    <sheetView topLeftCell="H84" zoomScaleNormal="100" workbookViewId="0">
      <selection activeCell="W109" sqref="W109:W115"/>
    </sheetView>
  </sheetViews>
  <sheetFormatPr defaultRowHeight="12.75" x14ac:dyDescent="0.2"/>
  <cols>
    <col min="1" max="1" width="38" style="478" customWidth="1"/>
    <col min="2" max="2" width="11.140625" style="478" bestFit="1" customWidth="1"/>
    <col min="3" max="3" width="18.140625" style="478" customWidth="1"/>
    <col min="4" max="4" width="14" style="478" bestFit="1" customWidth="1"/>
    <col min="5" max="5" width="13.7109375" style="478" bestFit="1" customWidth="1"/>
    <col min="6" max="6" width="16.85546875" style="478" customWidth="1"/>
    <col min="7" max="7" width="45.140625" style="478" customWidth="1"/>
    <col min="8" max="15" width="9.7109375" style="478" customWidth="1"/>
    <col min="16" max="18" width="9.140625" style="478"/>
    <col min="19" max="19" width="48.85546875" style="478" customWidth="1"/>
    <col min="20" max="20" width="13.28515625" style="478" customWidth="1"/>
    <col min="21" max="22" width="9.28515625" style="478" bestFit="1" customWidth="1"/>
    <col min="23" max="23" width="10.85546875" style="478" customWidth="1"/>
    <col min="24" max="24" width="20.85546875" style="478" bestFit="1" customWidth="1"/>
    <col min="25" max="25" width="16.5703125" style="478" bestFit="1" customWidth="1"/>
    <col min="26" max="26" width="15.5703125" style="478" bestFit="1" customWidth="1"/>
    <col min="27" max="27" width="12.140625" style="478" customWidth="1"/>
    <col min="28" max="28" width="9.28515625" style="478" bestFit="1" customWidth="1"/>
    <col min="29" max="29" width="34" style="478" customWidth="1"/>
    <col min="30" max="30" width="13.85546875" style="478" bestFit="1" customWidth="1"/>
    <col min="31" max="16384" width="9.140625" style="478"/>
  </cols>
  <sheetData>
    <row r="1" spans="1:23" ht="63.75" x14ac:dyDescent="0.2">
      <c r="A1" s="484" t="s">
        <v>1498</v>
      </c>
    </row>
    <row r="2" spans="1:23" x14ac:dyDescent="0.2">
      <c r="B2" s="478" t="s">
        <v>1285</v>
      </c>
    </row>
    <row r="3" spans="1:23" x14ac:dyDescent="0.2">
      <c r="A3" s="478" t="s">
        <v>1286</v>
      </c>
      <c r="B3" s="478" t="s">
        <v>405</v>
      </c>
      <c r="C3" s="478" t="s">
        <v>409</v>
      </c>
      <c r="D3" s="478" t="s">
        <v>418</v>
      </c>
      <c r="E3" s="478" t="s">
        <v>413</v>
      </c>
    </row>
    <row r="4" spans="1:23" x14ac:dyDescent="0.2">
      <c r="A4" s="478" t="s">
        <v>534</v>
      </c>
    </row>
    <row r="5" spans="1:23" x14ac:dyDescent="0.2">
      <c r="A5" s="478" t="s">
        <v>1280</v>
      </c>
      <c r="B5" s="478">
        <v>276</v>
      </c>
      <c r="C5" s="478">
        <v>1616</v>
      </c>
      <c r="D5" s="478">
        <v>551</v>
      </c>
      <c r="E5" s="478">
        <v>1856</v>
      </c>
    </row>
    <row r="6" spans="1:23" x14ac:dyDescent="0.2">
      <c r="A6" s="478" t="s">
        <v>529</v>
      </c>
      <c r="B6" s="478">
        <v>151</v>
      </c>
      <c r="C6" s="478">
        <v>500</v>
      </c>
      <c r="D6" s="478">
        <v>154</v>
      </c>
      <c r="E6" s="478">
        <v>59</v>
      </c>
    </row>
    <row r="7" spans="1:23" x14ac:dyDescent="0.2">
      <c r="A7" s="478" t="s">
        <v>1281</v>
      </c>
      <c r="B7" s="478">
        <v>51</v>
      </c>
      <c r="C7" s="478">
        <v>325</v>
      </c>
      <c r="D7" s="478">
        <v>221</v>
      </c>
      <c r="E7" s="478">
        <v>280</v>
      </c>
    </row>
    <row r="8" spans="1:23" x14ac:dyDescent="0.2">
      <c r="A8" s="478" t="s">
        <v>1279</v>
      </c>
      <c r="B8" s="478">
        <v>141</v>
      </c>
      <c r="C8" s="478">
        <v>1424</v>
      </c>
      <c r="D8" s="478">
        <v>143</v>
      </c>
      <c r="E8" s="478">
        <v>39</v>
      </c>
    </row>
    <row r="9" spans="1:23" x14ac:dyDescent="0.2">
      <c r="A9" s="478" t="s">
        <v>442</v>
      </c>
      <c r="B9" s="478">
        <v>187</v>
      </c>
      <c r="C9" s="478">
        <v>1575</v>
      </c>
      <c r="D9" s="478">
        <v>508</v>
      </c>
      <c r="E9" s="478">
        <v>57</v>
      </c>
    </row>
    <row r="10" spans="1:23" x14ac:dyDescent="0.2">
      <c r="A10" s="478" t="s">
        <v>440</v>
      </c>
      <c r="B10" s="478">
        <v>289</v>
      </c>
      <c r="C10" s="478">
        <v>7310</v>
      </c>
      <c r="D10" s="478">
        <v>218</v>
      </c>
      <c r="E10" s="478">
        <v>128</v>
      </c>
    </row>
    <row r="11" spans="1:23" x14ac:dyDescent="0.2">
      <c r="A11" s="478" t="s">
        <v>444</v>
      </c>
      <c r="B11" s="478">
        <v>184</v>
      </c>
      <c r="C11" s="478">
        <v>280</v>
      </c>
      <c r="D11" s="478">
        <v>985</v>
      </c>
      <c r="E11" s="478">
        <v>2178</v>
      </c>
    </row>
    <row r="12" spans="1:23" x14ac:dyDescent="0.2">
      <c r="A12" s="478" t="s">
        <v>1283</v>
      </c>
      <c r="B12" s="478">
        <v>47</v>
      </c>
      <c r="C12" s="478">
        <v>253</v>
      </c>
      <c r="D12" s="478">
        <v>37</v>
      </c>
      <c r="E12" s="478">
        <v>1</v>
      </c>
      <c r="S12" s="478" t="s">
        <v>447</v>
      </c>
      <c r="T12" s="493" t="s">
        <v>409</v>
      </c>
    </row>
    <row r="13" spans="1:23" x14ac:dyDescent="0.2">
      <c r="A13" s="478" t="s">
        <v>425</v>
      </c>
      <c r="B13" s="478">
        <v>524</v>
      </c>
      <c r="C13" s="478">
        <v>1202</v>
      </c>
      <c r="D13" s="478">
        <v>467</v>
      </c>
      <c r="E13" s="478">
        <v>358</v>
      </c>
      <c r="S13" s="173" t="s">
        <v>450</v>
      </c>
      <c r="T13" s="336" t="s">
        <v>128</v>
      </c>
    </row>
    <row r="14" spans="1:23" ht="25.5" x14ac:dyDescent="0.2">
      <c r="S14" s="486" t="s">
        <v>1287</v>
      </c>
      <c r="T14" s="224" t="s">
        <v>409</v>
      </c>
    </row>
    <row r="15" spans="1:23" x14ac:dyDescent="0.2">
      <c r="S15" s="487" t="s">
        <v>1288</v>
      </c>
      <c r="T15" s="487" t="s">
        <v>459</v>
      </c>
      <c r="U15" s="487" t="s">
        <v>459</v>
      </c>
      <c r="V15" s="487" t="s">
        <v>460</v>
      </c>
      <c r="W15" s="487"/>
    </row>
    <row r="16" spans="1:23" x14ac:dyDescent="0.2">
      <c r="S16" s="487" t="s">
        <v>462</v>
      </c>
      <c r="T16" s="487"/>
      <c r="U16" s="487"/>
      <c r="V16" s="487"/>
      <c r="W16" s="487"/>
    </row>
    <row r="17" spans="1:30" ht="51" x14ac:dyDescent="0.2">
      <c r="C17" s="478" t="s">
        <v>1289</v>
      </c>
      <c r="D17" s="478" t="s">
        <v>1290</v>
      </c>
      <c r="E17" s="478" t="s">
        <v>1291</v>
      </c>
      <c r="F17" s="478" t="s">
        <v>1292</v>
      </c>
      <c r="G17" s="478" t="s">
        <v>1293</v>
      </c>
      <c r="S17" s="333" t="s">
        <v>499</v>
      </c>
      <c r="T17" s="334" t="s">
        <v>470</v>
      </c>
      <c r="U17" s="334" t="s">
        <v>471</v>
      </c>
      <c r="V17" s="335" t="s">
        <v>1295</v>
      </c>
      <c r="W17" s="335"/>
      <c r="AA17" s="478" t="s">
        <v>409</v>
      </c>
      <c r="AB17" s="478" t="s">
        <v>405</v>
      </c>
      <c r="AC17" s="494" t="s">
        <v>418</v>
      </c>
      <c r="AD17" s="494" t="s">
        <v>413</v>
      </c>
    </row>
    <row r="18" spans="1:30" x14ac:dyDescent="0.2">
      <c r="C18" s="478" t="s">
        <v>487</v>
      </c>
      <c r="D18" s="478" t="s">
        <v>1296</v>
      </c>
      <c r="F18" s="478">
        <v>836</v>
      </c>
      <c r="G18" s="478">
        <v>69793029</v>
      </c>
      <c r="S18" s="487" t="s">
        <v>442</v>
      </c>
      <c r="T18" s="339">
        <v>54.592000000000013</v>
      </c>
      <c r="U18" s="339">
        <v>30.708000000000002</v>
      </c>
      <c r="V18" s="339">
        <v>1865</v>
      </c>
      <c r="W18" s="339">
        <v>264301337</v>
      </c>
      <c r="X18" s="480">
        <f>G19</f>
        <v>382883357</v>
      </c>
      <c r="AA18" s="339">
        <v>1575</v>
      </c>
      <c r="AB18" s="339">
        <v>187</v>
      </c>
      <c r="AC18" s="339">
        <v>508</v>
      </c>
      <c r="AD18" s="487">
        <v>57</v>
      </c>
    </row>
    <row r="19" spans="1:30" x14ac:dyDescent="0.2">
      <c r="C19" s="478" t="s">
        <v>487</v>
      </c>
      <c r="D19" s="478" t="s">
        <v>1297</v>
      </c>
      <c r="E19" s="478" t="s">
        <v>1298</v>
      </c>
      <c r="F19" s="478">
        <v>3139</v>
      </c>
      <c r="G19" s="478">
        <v>382883357</v>
      </c>
      <c r="S19" s="487" t="s">
        <v>440</v>
      </c>
      <c r="T19" s="339">
        <v>76.551000000000002</v>
      </c>
      <c r="U19" s="339">
        <v>20.349</v>
      </c>
      <c r="V19" s="339">
        <v>9183</v>
      </c>
      <c r="W19" s="339">
        <v>1122038000</v>
      </c>
      <c r="X19" s="480">
        <f>G20</f>
        <v>1702274825</v>
      </c>
      <c r="AA19" s="339">
        <v>7310</v>
      </c>
      <c r="AB19" s="339">
        <v>289</v>
      </c>
      <c r="AC19" s="339">
        <v>218</v>
      </c>
      <c r="AD19" s="487">
        <v>128</v>
      </c>
    </row>
    <row r="20" spans="1:30" x14ac:dyDescent="0.2">
      <c r="C20" s="478" t="s">
        <v>487</v>
      </c>
      <c r="D20" s="478" t="s">
        <v>1297</v>
      </c>
      <c r="E20" s="478" t="s">
        <v>1299</v>
      </c>
      <c r="F20" s="478">
        <v>18053</v>
      </c>
      <c r="G20" s="478">
        <v>1702274825</v>
      </c>
      <c r="S20" s="487" t="s">
        <v>444</v>
      </c>
      <c r="T20" s="339">
        <v>51.96</v>
      </c>
      <c r="U20" s="339">
        <v>56.29</v>
      </c>
      <c r="V20" s="339">
        <v>314</v>
      </c>
      <c r="W20" s="339">
        <v>39319594</v>
      </c>
      <c r="X20" s="480">
        <f>G18</f>
        <v>69793029</v>
      </c>
      <c r="AA20" s="339">
        <v>280</v>
      </c>
      <c r="AB20" s="339">
        <v>184</v>
      </c>
      <c r="AC20" s="339">
        <v>985</v>
      </c>
      <c r="AD20" s="487">
        <v>2178</v>
      </c>
    </row>
    <row r="21" spans="1:30" x14ac:dyDescent="0.2">
      <c r="C21" s="478" t="s">
        <v>487</v>
      </c>
      <c r="D21" s="478" t="s">
        <v>1300</v>
      </c>
      <c r="E21" s="478" t="s">
        <v>1298</v>
      </c>
      <c r="F21" s="478">
        <v>524</v>
      </c>
      <c r="G21" s="478">
        <v>62328877</v>
      </c>
      <c r="S21" s="487" t="s">
        <v>111</v>
      </c>
      <c r="T21" s="339">
        <v>43.927999999999997</v>
      </c>
      <c r="U21" s="339">
        <v>20.671999999999997</v>
      </c>
      <c r="V21" s="488">
        <v>1529</v>
      </c>
      <c r="W21" s="487">
        <v>206781720</v>
      </c>
      <c r="X21" s="480">
        <f t="shared" ref="X21:X28" si="0">O27</f>
        <v>319586694</v>
      </c>
      <c r="AA21" s="488">
        <v>1586</v>
      </c>
      <c r="AB21" s="488">
        <v>152</v>
      </c>
      <c r="AC21" s="488">
        <v>132</v>
      </c>
      <c r="AD21" s="487">
        <f>SUMIF($S$119:$S$188,#REF!,$Y$119:$Y$188)</f>
        <v>0</v>
      </c>
    </row>
    <row r="22" spans="1:30" x14ac:dyDescent="0.2">
      <c r="C22" s="478" t="s">
        <v>487</v>
      </c>
      <c r="D22" s="478" t="s">
        <v>1300</v>
      </c>
      <c r="E22" s="478" t="s">
        <v>1299</v>
      </c>
      <c r="F22" s="478">
        <v>834</v>
      </c>
      <c r="G22" s="478">
        <v>60372903</v>
      </c>
      <c r="S22" s="487" t="s">
        <v>393</v>
      </c>
      <c r="T22" s="339">
        <v>0</v>
      </c>
      <c r="U22" s="339">
        <v>114.69999999999999</v>
      </c>
      <c r="V22" s="488">
        <v>18</v>
      </c>
      <c r="W22" s="487">
        <v>2742277</v>
      </c>
      <c r="X22" s="480">
        <f t="shared" si="0"/>
        <v>8579843</v>
      </c>
      <c r="AA22" s="488">
        <v>17</v>
      </c>
      <c r="AB22" s="488">
        <v>13</v>
      </c>
      <c r="AC22" s="488">
        <v>24</v>
      </c>
      <c r="AD22" s="487">
        <f>SUMIF($S$119:$S$188,#REF!,$Y$119:$Y$188)</f>
        <v>0</v>
      </c>
    </row>
    <row r="23" spans="1:30" x14ac:dyDescent="0.2">
      <c r="S23" s="487" t="s">
        <v>403</v>
      </c>
      <c r="T23" s="339">
        <v>69.84</v>
      </c>
      <c r="U23" s="339">
        <v>46.56</v>
      </c>
      <c r="V23" s="488">
        <v>7</v>
      </c>
      <c r="W23" s="487">
        <v>310758</v>
      </c>
      <c r="X23" s="480">
        <f t="shared" si="0"/>
        <v>1341013</v>
      </c>
      <c r="AA23" s="488">
        <v>7</v>
      </c>
      <c r="AB23" s="488">
        <v>1</v>
      </c>
      <c r="AC23" s="488">
        <v>11</v>
      </c>
      <c r="AD23" s="487">
        <f>SUMIF($S$119:$S$188,#REF!,$Y$119:$Y$188)</f>
        <v>0</v>
      </c>
    </row>
    <row r="24" spans="1:30" x14ac:dyDescent="0.2">
      <c r="S24" s="487" t="s">
        <v>483</v>
      </c>
      <c r="T24" s="339">
        <v>113.337</v>
      </c>
      <c r="U24" s="339">
        <v>66.563000000000002</v>
      </c>
      <c r="V24" s="488">
        <v>15</v>
      </c>
      <c r="W24" s="487">
        <v>13912691</v>
      </c>
      <c r="X24" s="480">
        <f t="shared" si="0"/>
        <v>73584591</v>
      </c>
      <c r="AA24" s="488">
        <v>14</v>
      </c>
      <c r="AB24" s="488">
        <v>5</v>
      </c>
      <c r="AC24" s="488">
        <v>2</v>
      </c>
      <c r="AD24" s="487">
        <f>SUMIF($S$119:$S$188,#REF!,$Y$119:$Y$188)</f>
        <v>0</v>
      </c>
    </row>
    <row r="25" spans="1:30" x14ac:dyDescent="0.2">
      <c r="A25" s="478" t="s">
        <v>1301</v>
      </c>
      <c r="N25" s="478" t="s">
        <v>1302</v>
      </c>
      <c r="S25" s="487" t="s">
        <v>484</v>
      </c>
      <c r="T25" s="339">
        <v>35.606999999999999</v>
      </c>
      <c r="U25" s="339">
        <v>55.692999999999998</v>
      </c>
      <c r="V25" s="488">
        <v>75</v>
      </c>
      <c r="W25" s="487">
        <v>6256191</v>
      </c>
      <c r="X25" s="480">
        <f t="shared" si="0"/>
        <v>16489737</v>
      </c>
      <c r="AA25" s="488">
        <v>67</v>
      </c>
      <c r="AB25" s="488">
        <v>10</v>
      </c>
      <c r="AC25" s="488">
        <v>19</v>
      </c>
      <c r="AD25" s="487">
        <f>SUMIF($S$119:$S$188,#REF!,$Y$119:$Y$188)</f>
        <v>0</v>
      </c>
    </row>
    <row r="26" spans="1:30" x14ac:dyDescent="0.2">
      <c r="A26" s="478" t="s">
        <v>1289</v>
      </c>
      <c r="B26" s="478" t="s">
        <v>1292</v>
      </c>
      <c r="C26" s="478" t="s">
        <v>1293</v>
      </c>
      <c r="D26" s="478" t="s">
        <v>1303</v>
      </c>
      <c r="E26" s="478" t="s">
        <v>1304</v>
      </c>
      <c r="F26" s="478" t="s">
        <v>1305</v>
      </c>
      <c r="G26" s="478" t="s">
        <v>1306</v>
      </c>
      <c r="H26" s="478" t="s">
        <v>1307</v>
      </c>
      <c r="K26" s="478" t="s">
        <v>474</v>
      </c>
      <c r="L26" s="478" t="s">
        <v>473</v>
      </c>
      <c r="M26" s="478" t="s">
        <v>1289</v>
      </c>
      <c r="N26" s="478" t="s">
        <v>1292</v>
      </c>
      <c r="O26" s="478" t="s">
        <v>1293</v>
      </c>
      <c r="S26" s="487" t="s">
        <v>416</v>
      </c>
      <c r="T26" s="339">
        <v>60.85</v>
      </c>
      <c r="U26" s="339">
        <v>60.85</v>
      </c>
      <c r="V26" s="488">
        <v>519</v>
      </c>
      <c r="W26" s="487">
        <v>63973435</v>
      </c>
      <c r="X26" s="480">
        <f t="shared" si="0"/>
        <v>189801323</v>
      </c>
      <c r="AA26" s="488">
        <v>491</v>
      </c>
      <c r="AB26" s="488">
        <v>142</v>
      </c>
      <c r="AC26" s="488">
        <v>101</v>
      </c>
      <c r="AD26" s="487">
        <f>SUMIF($S$119:$S$188,#REF!,$Y$119:$Y$188)</f>
        <v>0</v>
      </c>
    </row>
    <row r="27" spans="1:30" x14ac:dyDescent="0.2">
      <c r="A27" s="478" t="s">
        <v>111</v>
      </c>
      <c r="B27" s="478">
        <v>1885</v>
      </c>
      <c r="C27" s="479">
        <v>217721176</v>
      </c>
      <c r="D27" s="478">
        <v>6255591915.5000029</v>
      </c>
      <c r="E27" s="478">
        <v>6345587007.7000084</v>
      </c>
      <c r="F27" s="478">
        <v>757260103.99999952</v>
      </c>
      <c r="G27" s="478">
        <v>1094912015.3999996</v>
      </c>
      <c r="H27" s="478">
        <v>1869074069.6000001</v>
      </c>
      <c r="K27" s="480">
        <f>D27/C27</f>
        <v>28.732124409892048</v>
      </c>
      <c r="L27" s="480">
        <f t="shared" ref="L27:L40" si="1">SUM(E27:H27)/C27</f>
        <v>46.237271824675467</v>
      </c>
      <c r="M27" s="478" t="s">
        <v>111</v>
      </c>
      <c r="N27" s="478">
        <v>2676</v>
      </c>
      <c r="O27" s="478">
        <v>319586694</v>
      </c>
      <c r="S27" s="487" t="s">
        <v>485</v>
      </c>
      <c r="T27" s="339">
        <v>9.1700000000000017</v>
      </c>
      <c r="U27" s="339">
        <v>82.53</v>
      </c>
      <c r="V27" s="488">
        <v>32</v>
      </c>
      <c r="W27" s="487">
        <v>7609664</v>
      </c>
      <c r="X27" s="480">
        <f t="shared" si="0"/>
        <v>12966991</v>
      </c>
      <c r="AA27" s="488">
        <v>26</v>
      </c>
      <c r="AB27" s="488">
        <v>4</v>
      </c>
      <c r="AC27" s="488">
        <v>9</v>
      </c>
      <c r="AD27" s="487">
        <f>SUMIF($S$119:$S$188,#REF!,$Y$119:$Y$188)</f>
        <v>0</v>
      </c>
    </row>
    <row r="28" spans="1:30" x14ac:dyDescent="0.2">
      <c r="A28" s="478" t="s">
        <v>393</v>
      </c>
      <c r="B28" s="478">
        <v>34</v>
      </c>
      <c r="C28" s="479">
        <v>2849082</v>
      </c>
      <c r="D28" s="478">
        <v>185359756.29999998</v>
      </c>
      <c r="E28" s="478">
        <v>97805201.600000039</v>
      </c>
      <c r="K28" s="480">
        <f t="shared" ref="K28:K40" si="2">D28/C28</f>
        <v>65.059466979188372</v>
      </c>
      <c r="L28" s="480">
        <f t="shared" si="1"/>
        <v>34.328672042433332</v>
      </c>
      <c r="M28" s="478" t="s">
        <v>393</v>
      </c>
      <c r="N28" s="478">
        <v>138</v>
      </c>
      <c r="O28" s="478">
        <v>8579843</v>
      </c>
      <c r="S28" s="487" t="s">
        <v>486</v>
      </c>
      <c r="T28" s="339">
        <v>23.140249999999995</v>
      </c>
      <c r="U28" s="339">
        <v>71.309750000000008</v>
      </c>
      <c r="V28" s="488">
        <v>132</v>
      </c>
      <c r="W28" s="487">
        <v>17773796</v>
      </c>
      <c r="X28" s="480">
        <f t="shared" si="0"/>
        <v>30810118</v>
      </c>
      <c r="AA28" s="488">
        <v>123</v>
      </c>
      <c r="AB28" s="488">
        <v>5</v>
      </c>
      <c r="AC28" s="488">
        <v>57</v>
      </c>
      <c r="AD28" s="487">
        <f>SUMIF($S$119:$S$188,#REF!,$Y$119:$Y$188)</f>
        <v>0</v>
      </c>
    </row>
    <row r="29" spans="1:30" x14ac:dyDescent="0.2">
      <c r="A29" s="478" t="s">
        <v>403</v>
      </c>
      <c r="B29" s="478">
        <v>9</v>
      </c>
      <c r="C29" s="479">
        <v>409433</v>
      </c>
      <c r="D29" s="478">
        <v>17680615.400000002</v>
      </c>
      <c r="E29" s="478">
        <v>48487864.900000006</v>
      </c>
      <c r="G29" s="478">
        <v>143829.09999999998</v>
      </c>
      <c r="K29" s="480">
        <f t="shared" si="2"/>
        <v>43.183171361370484</v>
      </c>
      <c r="L29" s="480">
        <f t="shared" si="1"/>
        <v>118.77814929426795</v>
      </c>
      <c r="M29" s="478" t="s">
        <v>403</v>
      </c>
      <c r="N29" s="478">
        <v>20</v>
      </c>
      <c r="O29" s="478">
        <v>1341013</v>
      </c>
      <c r="S29" s="487" t="s">
        <v>425</v>
      </c>
      <c r="T29" s="339">
        <v>30.376999999999995</v>
      </c>
      <c r="U29" s="339">
        <v>51.722999999999999</v>
      </c>
      <c r="V29" s="488">
        <v>1255</v>
      </c>
      <c r="W29" s="487">
        <v>237363220</v>
      </c>
      <c r="X29" s="480">
        <f t="shared" ref="X29:X35" si="3">O36</f>
        <v>717962630</v>
      </c>
      <c r="AA29" s="488">
        <v>11988</v>
      </c>
      <c r="AB29" s="488">
        <v>581</v>
      </c>
      <c r="AC29" s="488">
        <v>475</v>
      </c>
      <c r="AD29" s="487">
        <f>SUMIF($S$119:$S$188,#REF!,$Y$119:$Y$188)</f>
        <v>0</v>
      </c>
    </row>
    <row r="30" spans="1:30" x14ac:dyDescent="0.2">
      <c r="A30" s="478" t="s">
        <v>483</v>
      </c>
      <c r="B30" s="478">
        <v>24</v>
      </c>
      <c r="C30" s="479">
        <v>13912691</v>
      </c>
      <c r="D30" s="478">
        <v>904669770.00000024</v>
      </c>
      <c r="E30" s="478">
        <v>1040124061.9999999</v>
      </c>
      <c r="F30" s="478">
        <v>334183991.39999998</v>
      </c>
      <c r="G30" s="478">
        <v>19674955.5</v>
      </c>
      <c r="H30" s="478">
        <v>18863740.699999999</v>
      </c>
      <c r="K30" s="480">
        <f t="shared" si="2"/>
        <v>65.024787081090224</v>
      </c>
      <c r="L30" s="480">
        <f t="shared" si="1"/>
        <v>101.55093285691459</v>
      </c>
      <c r="M30" s="478" t="s">
        <v>483</v>
      </c>
      <c r="N30" s="478">
        <v>149</v>
      </c>
      <c r="O30" s="478">
        <v>73584591</v>
      </c>
      <c r="S30" s="487" t="s">
        <v>173</v>
      </c>
      <c r="T30" s="339">
        <v>32.141999999999996</v>
      </c>
      <c r="U30" s="339">
        <v>40.908000000000001</v>
      </c>
      <c r="V30" s="488">
        <v>232</v>
      </c>
      <c r="W30" s="487">
        <v>24603658</v>
      </c>
      <c r="X30" s="480">
        <f t="shared" si="3"/>
        <v>105696502</v>
      </c>
      <c r="AA30" s="488">
        <v>1183</v>
      </c>
      <c r="AB30" s="488">
        <v>225</v>
      </c>
      <c r="AC30" s="488">
        <v>185</v>
      </c>
      <c r="AD30" s="487">
        <f>SUMIF($S$119:$S$188,#REF!,$Y$119:$Y$188)</f>
        <v>0</v>
      </c>
    </row>
    <row r="31" spans="1:30" x14ac:dyDescent="0.2">
      <c r="A31" s="478" t="s">
        <v>484</v>
      </c>
      <c r="B31" s="478">
        <v>84</v>
      </c>
      <c r="C31" s="479">
        <v>7201353</v>
      </c>
      <c r="D31" s="478">
        <v>361074060.20000011</v>
      </c>
      <c r="E31" s="478">
        <v>208745240.50000003</v>
      </c>
      <c r="F31" s="478">
        <v>56271965.599999994</v>
      </c>
      <c r="G31" s="478">
        <v>4962397</v>
      </c>
      <c r="H31" s="478">
        <v>6601886.3000000007</v>
      </c>
      <c r="K31" s="480">
        <f t="shared" si="2"/>
        <v>50.139752932539217</v>
      </c>
      <c r="L31" s="480">
        <f t="shared" si="1"/>
        <v>38.406878457423211</v>
      </c>
      <c r="M31" s="478" t="s">
        <v>484</v>
      </c>
      <c r="N31" s="478">
        <v>160</v>
      </c>
      <c r="O31" s="478">
        <v>16489737</v>
      </c>
      <c r="S31" s="487" t="s">
        <v>427</v>
      </c>
      <c r="T31" s="339">
        <v>46.463999999999999</v>
      </c>
      <c r="U31" s="339">
        <v>50.335999999999999</v>
      </c>
      <c r="V31" s="488">
        <v>218</v>
      </c>
      <c r="W31" s="487">
        <v>16477361</v>
      </c>
      <c r="X31" s="480">
        <f t="shared" si="3"/>
        <v>45357092</v>
      </c>
      <c r="AA31" s="488">
        <v>203</v>
      </c>
      <c r="AB31" s="488">
        <v>47</v>
      </c>
      <c r="AC31" s="488">
        <v>70</v>
      </c>
      <c r="AD31" s="487">
        <f>SUMIF($S$119:$S$188,#REF!,$Y$119:$Y$188)</f>
        <v>0</v>
      </c>
    </row>
    <row r="32" spans="1:30" x14ac:dyDescent="0.2">
      <c r="A32" s="478" t="s">
        <v>485</v>
      </c>
      <c r="B32" s="478">
        <v>43</v>
      </c>
      <c r="C32" s="479">
        <v>7637789</v>
      </c>
      <c r="D32" s="478">
        <v>507457635.39999992</v>
      </c>
      <c r="E32" s="478">
        <v>106228035.29999997</v>
      </c>
      <c r="F32" s="478">
        <v>6543764.7999999998</v>
      </c>
      <c r="K32" s="480">
        <f t="shared" si="2"/>
        <v>66.440384174006368</v>
      </c>
      <c r="L32" s="480">
        <f t="shared" si="1"/>
        <v>14.764979773596778</v>
      </c>
      <c r="M32" s="478" t="s">
        <v>416</v>
      </c>
      <c r="N32" s="478">
        <v>1449</v>
      </c>
      <c r="O32" s="478">
        <v>189801323</v>
      </c>
      <c r="S32" s="487" t="s">
        <v>488</v>
      </c>
      <c r="T32" s="339">
        <v>67.0535</v>
      </c>
      <c r="U32" s="339">
        <v>46.596500000000006</v>
      </c>
      <c r="V32" s="488">
        <v>162</v>
      </c>
      <c r="W32" s="487">
        <v>8514225</v>
      </c>
      <c r="X32" s="480">
        <f t="shared" si="3"/>
        <v>22091523</v>
      </c>
      <c r="AA32" s="488">
        <v>213</v>
      </c>
      <c r="AB32" s="488">
        <v>26</v>
      </c>
      <c r="AC32" s="488">
        <v>42</v>
      </c>
      <c r="AD32" s="487">
        <f>SUMIF($S$119:$S$188,#REF!,$Y$119:$Y$188)</f>
        <v>0</v>
      </c>
    </row>
    <row r="33" spans="1:30" x14ac:dyDescent="0.2">
      <c r="A33" s="478" t="s">
        <v>486</v>
      </c>
      <c r="B33" s="478">
        <v>214</v>
      </c>
      <c r="C33" s="479">
        <v>18403751</v>
      </c>
      <c r="D33" s="478">
        <v>913128744.19999897</v>
      </c>
      <c r="E33" s="478">
        <v>458593265.80000013</v>
      </c>
      <c r="F33" s="478">
        <v>12872513.100000001</v>
      </c>
      <c r="G33" s="478">
        <v>17147052.5</v>
      </c>
      <c r="H33" s="478">
        <v>14105031.300000001</v>
      </c>
      <c r="K33" s="480">
        <f t="shared" si="2"/>
        <v>49.616447440524432</v>
      </c>
      <c r="L33" s="480">
        <f t="shared" si="1"/>
        <v>27.316054357614387</v>
      </c>
      <c r="M33" s="478" t="s">
        <v>485</v>
      </c>
      <c r="N33" s="478">
        <v>96</v>
      </c>
      <c r="O33" s="478">
        <v>12966991</v>
      </c>
      <c r="S33" s="487" t="s">
        <v>431</v>
      </c>
      <c r="T33" s="339">
        <v>42.120000000000005</v>
      </c>
      <c r="U33" s="339">
        <v>38.879999999999995</v>
      </c>
      <c r="V33" s="488">
        <v>55</v>
      </c>
      <c r="W33" s="487">
        <v>4194916</v>
      </c>
      <c r="X33" s="480">
        <f t="shared" si="3"/>
        <v>10555813</v>
      </c>
      <c r="AA33" s="488">
        <v>159</v>
      </c>
      <c r="AB33" s="488">
        <v>33</v>
      </c>
      <c r="AC33" s="488">
        <v>3</v>
      </c>
      <c r="AD33" s="487">
        <f>SUMIF($S$119:$S$188,#REF!,$Y$119:$Y$188)</f>
        <v>0</v>
      </c>
    </row>
    <row r="34" spans="1:30" x14ac:dyDescent="0.2">
      <c r="A34" s="478" t="s">
        <v>173</v>
      </c>
      <c r="B34" s="478">
        <v>321</v>
      </c>
      <c r="C34" s="479">
        <v>26006114</v>
      </c>
      <c r="D34" s="478">
        <v>884919966.79999995</v>
      </c>
      <c r="E34" s="478">
        <v>729326801.10000038</v>
      </c>
      <c r="F34" s="478">
        <v>50124040.399999999</v>
      </c>
      <c r="G34" s="478">
        <v>76310812.099999994</v>
      </c>
      <c r="H34" s="478">
        <v>48285260.299999997</v>
      </c>
      <c r="K34" s="480">
        <f t="shared" si="2"/>
        <v>34.027381668787577</v>
      </c>
      <c r="L34" s="480">
        <f t="shared" si="1"/>
        <v>34.762860529643156</v>
      </c>
      <c r="M34" s="478" t="s">
        <v>486</v>
      </c>
      <c r="N34" s="478">
        <v>312</v>
      </c>
      <c r="O34" s="478">
        <v>30810118</v>
      </c>
      <c r="S34" s="487" t="s">
        <v>433</v>
      </c>
      <c r="T34" s="339">
        <v>89.376000000000005</v>
      </c>
      <c r="U34" s="339">
        <v>32.223999999999997</v>
      </c>
      <c r="V34" s="339">
        <v>88</v>
      </c>
      <c r="W34" s="339">
        <v>5632255</v>
      </c>
      <c r="X34" s="480">
        <f t="shared" si="3"/>
        <v>10152313</v>
      </c>
      <c r="AA34" s="488">
        <v>51</v>
      </c>
      <c r="AB34" s="488">
        <v>12</v>
      </c>
      <c r="AC34" s="488">
        <v>47</v>
      </c>
      <c r="AD34" s="487">
        <f>SUMIF($S$119:$S$188,#REF!,$Y$119:$Y$188)</f>
        <v>0</v>
      </c>
    </row>
    <row r="35" spans="1:30" x14ac:dyDescent="0.2">
      <c r="A35" s="478" t="s">
        <v>427</v>
      </c>
      <c r="B35" s="478">
        <v>273</v>
      </c>
      <c r="C35" s="479">
        <v>20203235</v>
      </c>
      <c r="D35" s="478">
        <v>1143303839.8999999</v>
      </c>
      <c r="E35" s="478">
        <v>714514699.00000024</v>
      </c>
      <c r="F35" s="478">
        <v>418717006.90000004</v>
      </c>
      <c r="G35" s="478">
        <v>35377744.300000004</v>
      </c>
      <c r="H35" s="478">
        <v>4669664.2</v>
      </c>
      <c r="K35" s="480">
        <f t="shared" si="2"/>
        <v>56.590137168626697</v>
      </c>
      <c r="L35" s="480">
        <f t="shared" si="1"/>
        <v>58.073824038576014</v>
      </c>
      <c r="M35" s="478" t="s">
        <v>487</v>
      </c>
      <c r="N35" s="478">
        <v>23386</v>
      </c>
      <c r="O35" s="478">
        <v>2277652991</v>
      </c>
      <c r="S35" s="487" t="s">
        <v>489</v>
      </c>
      <c r="T35" s="339">
        <v>29.067999999999991</v>
      </c>
      <c r="U35" s="339">
        <v>38.532000000000004</v>
      </c>
      <c r="V35" s="339">
        <v>296</v>
      </c>
      <c r="W35" s="339">
        <v>42946889</v>
      </c>
      <c r="X35" s="480">
        <f t="shared" si="3"/>
        <v>103653477</v>
      </c>
      <c r="AA35" s="339">
        <v>87</v>
      </c>
      <c r="AB35" s="339">
        <v>1</v>
      </c>
      <c r="AC35" s="339">
        <v>11</v>
      </c>
      <c r="AD35" s="487">
        <f>SUMIF($S$119:$S$188,#REF!,$Y$119:$Y$188)</f>
        <v>0</v>
      </c>
    </row>
    <row r="36" spans="1:30" x14ac:dyDescent="0.2">
      <c r="A36" s="478" t="s">
        <v>488</v>
      </c>
      <c r="B36" s="478">
        <v>176</v>
      </c>
      <c r="C36" s="479">
        <v>9919198</v>
      </c>
      <c r="D36" s="478">
        <v>440788406.30000013</v>
      </c>
      <c r="E36" s="478">
        <v>402244389.60000002</v>
      </c>
      <c r="F36" s="478">
        <v>64259885.899999999</v>
      </c>
      <c r="G36" s="478">
        <v>40944822.700000003</v>
      </c>
      <c r="H36" s="478">
        <v>0</v>
      </c>
      <c r="K36" s="480">
        <f t="shared" si="2"/>
        <v>44.437907812708261</v>
      </c>
      <c r="L36" s="480">
        <f t="shared" si="1"/>
        <v>51.158278945535713</v>
      </c>
      <c r="M36" s="478" t="s">
        <v>425</v>
      </c>
      <c r="N36" s="478">
        <v>3144</v>
      </c>
      <c r="O36" s="478">
        <v>717962630</v>
      </c>
      <c r="AA36" s="339">
        <v>269</v>
      </c>
      <c r="AB36" s="339">
        <v>21</v>
      </c>
      <c r="AC36" s="339">
        <v>176</v>
      </c>
      <c r="AD36" s="487">
        <f>SUMIF($S$119:$S$188,#REF!,$Y$119:$Y$188)</f>
        <v>0</v>
      </c>
    </row>
    <row r="37" spans="1:30" x14ac:dyDescent="0.2">
      <c r="A37" s="478" t="s">
        <v>431</v>
      </c>
      <c r="B37" s="478">
        <v>85</v>
      </c>
      <c r="C37" s="479">
        <v>4496111</v>
      </c>
      <c r="D37" s="478">
        <v>112781436.40000002</v>
      </c>
      <c r="E37" s="478">
        <v>118488890.00000001</v>
      </c>
      <c r="F37" s="478">
        <v>13233029.299999999</v>
      </c>
      <c r="G37" s="478">
        <v>47217762.799999997</v>
      </c>
      <c r="H37" s="478">
        <v>2133074.7000000002</v>
      </c>
      <c r="K37" s="480">
        <f t="shared" si="2"/>
        <v>25.084219762367972</v>
      </c>
      <c r="L37" s="480">
        <f t="shared" si="1"/>
        <v>40.273195390416298</v>
      </c>
      <c r="M37" s="478" t="s">
        <v>173</v>
      </c>
      <c r="N37" s="478">
        <v>798</v>
      </c>
      <c r="O37" s="478">
        <v>105696502</v>
      </c>
    </row>
    <row r="38" spans="1:30" x14ac:dyDescent="0.2">
      <c r="A38" s="478" t="s">
        <v>433</v>
      </c>
      <c r="B38" s="478">
        <v>109</v>
      </c>
      <c r="C38" s="479">
        <v>7175351</v>
      </c>
      <c r="D38" s="478">
        <v>199520446.89999989</v>
      </c>
      <c r="E38" s="478">
        <v>454883233.8999998</v>
      </c>
      <c r="F38" s="478">
        <v>71000481.100000009</v>
      </c>
      <c r="G38" s="478">
        <v>92306114.500000015</v>
      </c>
      <c r="H38" s="478">
        <v>4730400.0999999996</v>
      </c>
      <c r="K38" s="480">
        <f t="shared" si="2"/>
        <v>27.806367507317745</v>
      </c>
      <c r="L38" s="480">
        <f t="shared" si="1"/>
        <v>86.813903542837124</v>
      </c>
      <c r="M38" s="478" t="s">
        <v>427</v>
      </c>
      <c r="N38" s="478">
        <v>442</v>
      </c>
      <c r="O38" s="478">
        <v>45357092</v>
      </c>
      <c r="S38" s="478" t="s">
        <v>447</v>
      </c>
      <c r="T38" s="493" t="s">
        <v>405</v>
      </c>
    </row>
    <row r="39" spans="1:30" x14ac:dyDescent="0.2">
      <c r="A39" s="478" t="s">
        <v>489</v>
      </c>
      <c r="B39" s="478">
        <v>472</v>
      </c>
      <c r="C39" s="479">
        <v>44025123</v>
      </c>
      <c r="D39" s="478">
        <v>1140821769.5000014</v>
      </c>
      <c r="E39" s="478">
        <v>1285637815.7999992</v>
      </c>
      <c r="F39" s="478">
        <v>232781.8</v>
      </c>
      <c r="G39" s="478">
        <v>51337192.499999993</v>
      </c>
      <c r="H39" s="478">
        <v>2415844</v>
      </c>
      <c r="K39" s="480">
        <f t="shared" si="2"/>
        <v>25.912971770686511</v>
      </c>
      <c r="L39" s="480">
        <f t="shared" si="1"/>
        <v>30.428617634980807</v>
      </c>
      <c r="M39" s="478" t="s">
        <v>488</v>
      </c>
      <c r="N39" s="478">
        <v>235</v>
      </c>
      <c r="O39" s="478">
        <v>22091523</v>
      </c>
      <c r="S39" s="173" t="s">
        <v>450</v>
      </c>
      <c r="T39" s="336" t="s">
        <v>128</v>
      </c>
    </row>
    <row r="40" spans="1:30" ht="38.25" x14ac:dyDescent="0.2">
      <c r="A40" s="478" t="s">
        <v>438</v>
      </c>
      <c r="B40" s="478">
        <v>0</v>
      </c>
      <c r="C40" s="479">
        <v>0</v>
      </c>
      <c r="D40" s="478">
        <v>0</v>
      </c>
      <c r="E40" s="478">
        <v>0</v>
      </c>
      <c r="F40" s="478">
        <v>0</v>
      </c>
      <c r="G40" s="478">
        <v>0</v>
      </c>
      <c r="H40" s="478">
        <v>0</v>
      </c>
      <c r="I40" s="478">
        <v>0</v>
      </c>
      <c r="J40" s="478">
        <v>0</v>
      </c>
      <c r="K40" s="480" t="e">
        <f t="shared" si="2"/>
        <v>#DIV/0!</v>
      </c>
      <c r="L40" s="480" t="e">
        <f t="shared" si="1"/>
        <v>#DIV/0!</v>
      </c>
      <c r="M40" s="478" t="s">
        <v>431</v>
      </c>
      <c r="N40" s="478">
        <v>179</v>
      </c>
      <c r="O40" s="478">
        <v>10555813</v>
      </c>
      <c r="S40" s="486" t="s">
        <v>1308</v>
      </c>
      <c r="T40" s="224" t="s">
        <v>405</v>
      </c>
    </row>
    <row r="41" spans="1:30" x14ac:dyDescent="0.2">
      <c r="M41" s="478" t="s">
        <v>433</v>
      </c>
      <c r="N41" s="478">
        <v>148</v>
      </c>
      <c r="O41" s="478">
        <v>10152313</v>
      </c>
      <c r="S41" s="487" t="s">
        <v>1288</v>
      </c>
      <c r="T41" s="487" t="s">
        <v>459</v>
      </c>
      <c r="U41" s="487" t="s">
        <v>459</v>
      </c>
      <c r="V41" s="487" t="s">
        <v>460</v>
      </c>
      <c r="W41" s="487" t="s">
        <v>460</v>
      </c>
    </row>
    <row r="42" spans="1:30" x14ac:dyDescent="0.2">
      <c r="A42" s="478" t="s">
        <v>1309</v>
      </c>
      <c r="M42" s="478" t="s">
        <v>489</v>
      </c>
      <c r="N42" s="478">
        <v>989</v>
      </c>
      <c r="O42" s="478">
        <v>103653477</v>
      </c>
      <c r="S42" s="487" t="s">
        <v>462</v>
      </c>
      <c r="T42" s="487"/>
      <c r="U42" s="487"/>
      <c r="V42" s="487"/>
      <c r="W42" s="487"/>
    </row>
    <row r="43" spans="1:30" ht="51" x14ac:dyDescent="0.2">
      <c r="A43" s="478" t="s">
        <v>1289</v>
      </c>
      <c r="B43" s="478" t="s">
        <v>1310</v>
      </c>
      <c r="C43" s="478" t="s">
        <v>1311</v>
      </c>
      <c r="D43" s="478" t="s">
        <v>1312</v>
      </c>
      <c r="E43" s="478" t="s">
        <v>1313</v>
      </c>
      <c r="K43" s="478" t="s">
        <v>474</v>
      </c>
      <c r="L43" s="478" t="s">
        <v>473</v>
      </c>
      <c r="N43" s="478" t="s">
        <v>1310</v>
      </c>
      <c r="O43" s="478" t="s">
        <v>1311</v>
      </c>
      <c r="S43" s="333" t="s">
        <v>1294</v>
      </c>
      <c r="T43" s="334" t="s">
        <v>470</v>
      </c>
      <c r="U43" s="334" t="s">
        <v>471</v>
      </c>
      <c r="V43" s="335" t="s">
        <v>1295</v>
      </c>
      <c r="W43" s="335" t="s">
        <v>472</v>
      </c>
      <c r="X43" s="586"/>
    </row>
    <row r="44" spans="1:30" x14ac:dyDescent="0.2">
      <c r="A44" s="478" t="s">
        <v>111</v>
      </c>
      <c r="B44" s="478">
        <v>170</v>
      </c>
      <c r="C44" s="478">
        <v>30823113</v>
      </c>
      <c r="D44" s="478">
        <v>478913078.299999</v>
      </c>
      <c r="E44" s="478">
        <v>18684918.313479077</v>
      </c>
      <c r="K44" s="480">
        <f>D44*3.412/C44</f>
        <v>53.013834882920371</v>
      </c>
      <c r="L44" s="480">
        <f t="shared" ref="L44:L55" si="4">SUM(E44:H44)/C44*100</f>
        <v>60.619828741759719</v>
      </c>
      <c r="N44" s="478">
        <v>173</v>
      </c>
      <c r="O44" s="478">
        <v>32344387</v>
      </c>
      <c r="S44" s="487" t="s">
        <v>442</v>
      </c>
      <c r="T44" s="339">
        <v>8.8399999999999963</v>
      </c>
      <c r="U44" s="339">
        <v>35.360000000000007</v>
      </c>
      <c r="V44" s="339">
        <v>153</v>
      </c>
      <c r="W44" s="339">
        <v>28601738</v>
      </c>
      <c r="Z44" s="480"/>
      <c r="AA44" s="481">
        <v>8.8399999999999963</v>
      </c>
      <c r="AB44" s="481">
        <v>35.360000000000007</v>
      </c>
      <c r="AC44" s="480">
        <v>153</v>
      </c>
      <c r="AD44" s="480">
        <v>28601738</v>
      </c>
    </row>
    <row r="45" spans="1:30" x14ac:dyDescent="0.2">
      <c r="A45" s="478" t="s">
        <v>393</v>
      </c>
      <c r="B45" s="478">
        <v>15</v>
      </c>
      <c r="C45" s="478">
        <v>940936</v>
      </c>
      <c r="D45" s="478">
        <v>36160810.5</v>
      </c>
      <c r="E45" s="478">
        <v>403527.49227612006</v>
      </c>
      <c r="K45" s="480">
        <f t="shared" ref="K45:K55" si="5">D45*3.412/C45</f>
        <v>131.1254808254759</v>
      </c>
      <c r="L45" s="480">
        <f t="shared" si="4"/>
        <v>42.885753364322341</v>
      </c>
      <c r="N45" s="478">
        <v>15</v>
      </c>
      <c r="O45" s="478">
        <v>940936</v>
      </c>
      <c r="S45" s="487" t="s">
        <v>440</v>
      </c>
      <c r="T45" s="339">
        <v>44.239999999999995</v>
      </c>
      <c r="U45" s="339">
        <v>18.960000000000004</v>
      </c>
      <c r="V45" s="339">
        <v>289</v>
      </c>
      <c r="W45" s="339">
        <v>47296920</v>
      </c>
      <c r="Z45" s="480"/>
      <c r="AA45" s="481">
        <v>44.239999999999995</v>
      </c>
      <c r="AB45" s="481">
        <v>18.960000000000004</v>
      </c>
      <c r="AC45" s="480">
        <v>289</v>
      </c>
      <c r="AD45" s="480">
        <v>47296920</v>
      </c>
    </row>
    <row r="46" spans="1:30" x14ac:dyDescent="0.2">
      <c r="A46" s="478" t="s">
        <v>403</v>
      </c>
      <c r="B46" s="478">
        <v>1</v>
      </c>
      <c r="C46" s="478">
        <v>140000</v>
      </c>
      <c r="D46" s="478">
        <v>1941929.7</v>
      </c>
      <c r="E46" s="478">
        <v>15018.000011</v>
      </c>
      <c r="K46" s="480">
        <f t="shared" si="5"/>
        <v>47.327600974285708</v>
      </c>
      <c r="L46" s="480">
        <f t="shared" si="4"/>
        <v>10.727142864999999</v>
      </c>
      <c r="N46" s="478">
        <v>1</v>
      </c>
      <c r="O46" s="478">
        <v>140000</v>
      </c>
      <c r="S46" s="487" t="s">
        <v>444</v>
      </c>
      <c r="T46" s="339">
        <v>35.28</v>
      </c>
      <c r="U46" s="339">
        <v>23.52</v>
      </c>
      <c r="V46" s="339">
        <v>173</v>
      </c>
      <c r="W46" s="339">
        <v>22869495.5</v>
      </c>
      <c r="Z46" s="480"/>
      <c r="AA46" s="481">
        <v>35.28</v>
      </c>
      <c r="AB46" s="481">
        <v>23.52</v>
      </c>
      <c r="AC46" s="480">
        <v>173</v>
      </c>
      <c r="AD46" s="480">
        <v>22869495.5</v>
      </c>
    </row>
    <row r="47" spans="1:30" x14ac:dyDescent="0.2">
      <c r="A47" s="478" t="s">
        <v>483</v>
      </c>
      <c r="B47" s="478">
        <v>7</v>
      </c>
      <c r="C47" s="478">
        <v>4547948</v>
      </c>
      <c r="D47" s="478">
        <v>148820500.5</v>
      </c>
      <c r="E47" s="478">
        <v>3749601.5988360001</v>
      </c>
      <c r="K47" s="480">
        <f t="shared" si="5"/>
        <v>111.64937411465566</v>
      </c>
      <c r="L47" s="480">
        <f t="shared" si="4"/>
        <v>82.446008591918812</v>
      </c>
      <c r="N47" s="478">
        <v>7</v>
      </c>
      <c r="O47" s="478">
        <v>4547948</v>
      </c>
      <c r="S47" s="487" t="s">
        <v>111</v>
      </c>
      <c r="T47" s="339">
        <v>26.759999999999998</v>
      </c>
      <c r="U47" s="339">
        <v>40.140000000000008</v>
      </c>
      <c r="V47" s="488">
        <v>161</v>
      </c>
      <c r="W47" s="487">
        <v>29184618.5</v>
      </c>
      <c r="Z47" s="480"/>
      <c r="AA47" s="481">
        <v>26.759999999999998</v>
      </c>
      <c r="AB47" s="481">
        <v>40.140000000000008</v>
      </c>
      <c r="AC47" s="480">
        <v>161</v>
      </c>
      <c r="AD47" s="480">
        <v>29184618.5</v>
      </c>
    </row>
    <row r="48" spans="1:30" x14ac:dyDescent="0.2">
      <c r="A48" s="478" t="s">
        <v>484</v>
      </c>
      <c r="B48" s="478">
        <v>17</v>
      </c>
      <c r="C48" s="478">
        <v>2409849</v>
      </c>
      <c r="D48" s="478">
        <v>40471038.599999994</v>
      </c>
      <c r="E48" s="478">
        <v>1613111.4857386199</v>
      </c>
      <c r="K48" s="480">
        <f t="shared" si="5"/>
        <v>57.301176838548798</v>
      </c>
      <c r="L48" s="480">
        <f t="shared" si="4"/>
        <v>66.938280603416217</v>
      </c>
      <c r="N48" s="478">
        <v>17</v>
      </c>
      <c r="O48" s="478">
        <v>2409849</v>
      </c>
      <c r="S48" s="487" t="s">
        <v>393</v>
      </c>
      <c r="T48" s="339">
        <v>58.484999999999985</v>
      </c>
      <c r="U48" s="339">
        <v>136.465</v>
      </c>
      <c r="V48" s="488">
        <v>14</v>
      </c>
      <c r="W48" s="487">
        <v>843823</v>
      </c>
      <c r="Z48" s="480"/>
      <c r="AA48" s="481">
        <v>58.484999999999985</v>
      </c>
      <c r="AB48" s="481">
        <v>136.465</v>
      </c>
      <c r="AC48" s="480">
        <v>14</v>
      </c>
      <c r="AD48" s="480">
        <v>843823</v>
      </c>
    </row>
    <row r="49" spans="1:30" x14ac:dyDescent="0.2">
      <c r="A49" s="478" t="s">
        <v>485</v>
      </c>
      <c r="B49" s="478">
        <v>8</v>
      </c>
      <c r="C49" s="478">
        <v>1134521</v>
      </c>
      <c r="D49" s="478">
        <v>22433492.100000001</v>
      </c>
      <c r="E49" s="478">
        <v>85744.347036899999</v>
      </c>
      <c r="K49" s="480">
        <f t="shared" si="5"/>
        <v>67.467305625193362</v>
      </c>
      <c r="L49" s="480">
        <f t="shared" si="4"/>
        <v>7.5577575943415773</v>
      </c>
      <c r="N49" s="478">
        <v>8</v>
      </c>
      <c r="O49" s="478">
        <v>1134521</v>
      </c>
      <c r="S49" s="487" t="s">
        <v>403</v>
      </c>
      <c r="T49" s="339">
        <v>11.619999999999997</v>
      </c>
      <c r="U49" s="339">
        <v>46.480000000000004</v>
      </c>
      <c r="V49" s="488">
        <v>1</v>
      </c>
      <c r="W49" s="487">
        <v>140000</v>
      </c>
      <c r="Z49" s="480"/>
      <c r="AA49" s="481">
        <v>11.619999999999997</v>
      </c>
      <c r="AB49" s="481">
        <v>46.480000000000004</v>
      </c>
      <c r="AC49" s="480">
        <v>1</v>
      </c>
      <c r="AD49" s="480">
        <v>140000</v>
      </c>
    </row>
    <row r="50" spans="1:30" x14ac:dyDescent="0.2">
      <c r="A50" s="478" t="s">
        <v>486</v>
      </c>
      <c r="B50" s="478">
        <v>6</v>
      </c>
      <c r="C50" s="478">
        <v>1202414</v>
      </c>
      <c r="D50" s="478">
        <v>17438494.899999999</v>
      </c>
      <c r="E50" s="478">
        <v>134052.37737911599</v>
      </c>
      <c r="K50" s="480">
        <f t="shared" si="5"/>
        <v>49.483908702659811</v>
      </c>
      <c r="L50" s="480">
        <f t="shared" si="4"/>
        <v>11.148604172865252</v>
      </c>
      <c r="N50" s="478">
        <v>6</v>
      </c>
      <c r="O50" s="478">
        <v>1202414</v>
      </c>
      <c r="S50" s="487" t="s">
        <v>483</v>
      </c>
      <c r="T50" s="339">
        <v>93.259999999999991</v>
      </c>
      <c r="U50" s="339">
        <v>139.89000000000001</v>
      </c>
      <c r="V50" s="488">
        <v>6</v>
      </c>
      <c r="W50" s="487">
        <v>3933477</v>
      </c>
      <c r="Z50" s="480"/>
      <c r="AA50" s="481">
        <v>93.259999999999991</v>
      </c>
      <c r="AB50" s="481">
        <v>139.89000000000001</v>
      </c>
      <c r="AC50" s="480">
        <v>6</v>
      </c>
      <c r="AD50" s="480">
        <v>3933477</v>
      </c>
    </row>
    <row r="51" spans="1:30" x14ac:dyDescent="0.2">
      <c r="A51" s="478" t="s">
        <v>173</v>
      </c>
      <c r="B51" s="478">
        <v>61</v>
      </c>
      <c r="C51" s="478">
        <v>13598799</v>
      </c>
      <c r="D51" s="478">
        <v>249157296.20000005</v>
      </c>
      <c r="E51" s="478">
        <v>3214743.81546915</v>
      </c>
      <c r="K51" s="480">
        <f t="shared" si="5"/>
        <v>62.514689321784971</v>
      </c>
      <c r="L51" s="480">
        <f t="shared" si="4"/>
        <v>23.639909785188749</v>
      </c>
      <c r="N51" s="478">
        <v>62</v>
      </c>
      <c r="O51" s="478">
        <v>13714624</v>
      </c>
      <c r="S51" s="487" t="s">
        <v>484</v>
      </c>
      <c r="T51" s="339">
        <v>7.3199999999999932</v>
      </c>
      <c r="U51" s="339">
        <v>65.88000000000001</v>
      </c>
      <c r="V51" s="488">
        <v>12</v>
      </c>
      <c r="W51" s="487">
        <v>2077964</v>
      </c>
      <c r="Z51" s="480"/>
      <c r="AA51" s="481">
        <v>7.3199999999999932</v>
      </c>
      <c r="AB51" s="481">
        <v>65.88000000000001</v>
      </c>
      <c r="AC51" s="480">
        <v>12</v>
      </c>
      <c r="AD51" s="480">
        <v>2077964</v>
      </c>
    </row>
    <row r="52" spans="1:30" x14ac:dyDescent="0.2">
      <c r="A52" s="478" t="s">
        <v>427</v>
      </c>
      <c r="B52" s="478">
        <v>50</v>
      </c>
      <c r="C52" s="478">
        <v>4575893</v>
      </c>
      <c r="D52" s="478">
        <v>71372039.300000012</v>
      </c>
      <c r="E52" s="478">
        <v>1046076.6236557896</v>
      </c>
      <c r="K52" s="480">
        <f t="shared" si="5"/>
        <v>53.218333141006582</v>
      </c>
      <c r="L52" s="480">
        <f t="shared" si="4"/>
        <v>22.860600622780943</v>
      </c>
      <c r="N52" s="478">
        <v>53</v>
      </c>
      <c r="O52" s="478">
        <v>4871465</v>
      </c>
      <c r="S52" s="487" t="s">
        <v>416</v>
      </c>
      <c r="T52" s="339">
        <v>34.439999999999991</v>
      </c>
      <c r="U52" s="339">
        <v>51.660000000000004</v>
      </c>
      <c r="V52" s="488">
        <v>155</v>
      </c>
      <c r="W52" s="487">
        <v>31174509.199999999</v>
      </c>
      <c r="Z52" s="480"/>
      <c r="AA52" s="481">
        <v>34.439999999999991</v>
      </c>
      <c r="AB52" s="481">
        <v>51.660000000000004</v>
      </c>
      <c r="AC52" s="480">
        <v>155</v>
      </c>
      <c r="AD52" s="480">
        <v>31174509.199999999</v>
      </c>
    </row>
    <row r="53" spans="1:30" x14ac:dyDescent="0.2">
      <c r="A53" s="478" t="s">
        <v>488</v>
      </c>
      <c r="B53" s="478">
        <v>37</v>
      </c>
      <c r="C53" s="478">
        <v>1273878</v>
      </c>
      <c r="D53" s="478">
        <v>22204207.699999999</v>
      </c>
      <c r="E53" s="478">
        <v>335836.92934208008</v>
      </c>
      <c r="K53" s="480">
        <f t="shared" si="5"/>
        <v>59.47253714437332</v>
      </c>
      <c r="L53" s="480">
        <f t="shared" si="4"/>
        <v>26.363351069888957</v>
      </c>
      <c r="N53" s="478">
        <v>37</v>
      </c>
      <c r="O53" s="478">
        <v>1273878</v>
      </c>
      <c r="S53" s="487" t="s">
        <v>485</v>
      </c>
      <c r="T53" s="339">
        <v>0</v>
      </c>
      <c r="U53" s="339">
        <v>75.75</v>
      </c>
      <c r="V53" s="488">
        <v>6</v>
      </c>
      <c r="W53" s="487">
        <v>886143</v>
      </c>
      <c r="Z53" s="480"/>
      <c r="AA53" s="481">
        <v>0</v>
      </c>
      <c r="AB53" s="481">
        <v>75.75</v>
      </c>
      <c r="AC53" s="480">
        <v>6</v>
      </c>
      <c r="AD53" s="480">
        <v>886143</v>
      </c>
    </row>
    <row r="54" spans="1:30" x14ac:dyDescent="0.2">
      <c r="A54" s="478" t="s">
        <v>433</v>
      </c>
      <c r="B54" s="478">
        <v>2</v>
      </c>
      <c r="C54" s="478">
        <v>268228</v>
      </c>
      <c r="D54" s="478">
        <v>1628904</v>
      </c>
      <c r="E54" s="478">
        <v>139040.99679999999</v>
      </c>
      <c r="K54" s="480">
        <f t="shared" si="5"/>
        <v>20.72050810504496</v>
      </c>
      <c r="L54" s="480">
        <f t="shared" si="4"/>
        <v>51.83686893240079</v>
      </c>
      <c r="N54" s="478">
        <v>2</v>
      </c>
      <c r="O54" s="478">
        <v>268228</v>
      </c>
      <c r="S54" s="487" t="s">
        <v>486</v>
      </c>
      <c r="T54" s="339">
        <v>17.369999999999997</v>
      </c>
      <c r="U54" s="339">
        <v>40.53</v>
      </c>
      <c r="V54" s="488">
        <v>5</v>
      </c>
      <c r="W54" s="487">
        <v>1105881</v>
      </c>
      <c r="Z54" s="480"/>
      <c r="AA54" s="481">
        <v>17.369999999999997</v>
      </c>
      <c r="AB54" s="481">
        <v>40.53</v>
      </c>
      <c r="AC54" s="480">
        <v>5</v>
      </c>
      <c r="AD54" s="480">
        <v>1105881</v>
      </c>
    </row>
    <row r="55" spans="1:30" x14ac:dyDescent="0.2">
      <c r="A55" s="478" t="s">
        <v>489</v>
      </c>
      <c r="B55" s="478">
        <v>30</v>
      </c>
      <c r="C55" s="478">
        <v>4104638</v>
      </c>
      <c r="D55" s="478">
        <v>20454973.899999999</v>
      </c>
      <c r="E55" s="478">
        <v>343613.28618130996</v>
      </c>
      <c r="K55" s="480">
        <f t="shared" si="5"/>
        <v>17.003295040098539</v>
      </c>
      <c r="L55" s="480">
        <f t="shared" si="4"/>
        <v>8.3713420326301602</v>
      </c>
      <c r="N55" s="478">
        <v>30</v>
      </c>
      <c r="O55" s="478">
        <v>4104638</v>
      </c>
      <c r="S55" s="487" t="s">
        <v>425</v>
      </c>
      <c r="T55" s="339">
        <v>0</v>
      </c>
      <c r="U55" s="339">
        <v>60.9</v>
      </c>
      <c r="V55" s="488">
        <v>445</v>
      </c>
      <c r="W55" s="487">
        <v>106512888</v>
      </c>
      <c r="Z55" s="480"/>
      <c r="AA55" s="481">
        <v>0</v>
      </c>
      <c r="AB55" s="481">
        <v>60.9</v>
      </c>
      <c r="AC55" s="480">
        <v>445</v>
      </c>
      <c r="AD55" s="480">
        <v>106512888</v>
      </c>
    </row>
    <row r="56" spans="1:30" x14ac:dyDescent="0.2">
      <c r="A56" s="478" t="s">
        <v>438</v>
      </c>
      <c r="K56" s="480"/>
      <c r="L56" s="480"/>
      <c r="S56" s="487" t="s">
        <v>173</v>
      </c>
      <c r="T56" s="339">
        <v>25.22999999999999</v>
      </c>
      <c r="U56" s="339">
        <v>58.870000000000005</v>
      </c>
      <c r="V56" s="488">
        <v>41</v>
      </c>
      <c r="W56" s="487">
        <v>6039572.7999999998</v>
      </c>
      <c r="Z56" s="480"/>
      <c r="AA56" s="481">
        <v>25.22999999999999</v>
      </c>
      <c r="AB56" s="481">
        <v>58.870000000000005</v>
      </c>
      <c r="AC56" s="480">
        <v>41</v>
      </c>
      <c r="AD56" s="480">
        <v>6039572.7999999998</v>
      </c>
    </row>
    <row r="57" spans="1:30" x14ac:dyDescent="0.2">
      <c r="A57" s="478" t="s">
        <v>529</v>
      </c>
      <c r="B57" s="478">
        <v>146</v>
      </c>
      <c r="C57" s="478">
        <v>20580043</v>
      </c>
      <c r="D57" s="478">
        <v>316040681.69999993</v>
      </c>
      <c r="E57" s="478">
        <v>7650848.3638920095</v>
      </c>
      <c r="K57" s="480">
        <f t="shared" ref="K57:K61" si="6">D57*3.412/C57</f>
        <v>52.396917050192734</v>
      </c>
      <c r="L57" s="480">
        <f t="shared" ref="L57:L61" si="7">SUM(E57:H57)/C57*100</f>
        <v>37.176056259416022</v>
      </c>
      <c r="S57" s="487" t="s">
        <v>427</v>
      </c>
      <c r="T57" s="339">
        <v>40.519999999999989</v>
      </c>
      <c r="U57" s="339">
        <v>60.780000000000008</v>
      </c>
      <c r="V57" s="488">
        <v>31</v>
      </c>
      <c r="W57" s="487">
        <v>2096698</v>
      </c>
      <c r="Z57" s="480"/>
      <c r="AA57" s="481">
        <v>40.519999999999989</v>
      </c>
      <c r="AB57" s="481">
        <v>60.780000000000008</v>
      </c>
      <c r="AC57" s="480">
        <v>31</v>
      </c>
      <c r="AD57" s="480">
        <v>2096698</v>
      </c>
    </row>
    <row r="58" spans="1:30" x14ac:dyDescent="0.2">
      <c r="A58" s="478" t="s">
        <v>442</v>
      </c>
      <c r="B58" s="478">
        <v>183</v>
      </c>
      <c r="C58" s="478">
        <v>33571671</v>
      </c>
      <c r="D58" s="478">
        <v>359001752.19999957</v>
      </c>
      <c r="E58" s="478">
        <v>3989436.7259435095</v>
      </c>
      <c r="K58" s="480">
        <f t="shared" si="6"/>
        <v>36.486535880397447</v>
      </c>
      <c r="L58" s="480">
        <f t="shared" si="7"/>
        <v>11.883342732458892</v>
      </c>
      <c r="S58" s="487" t="s">
        <v>488</v>
      </c>
      <c r="T58" s="339">
        <v>34.879999999999995</v>
      </c>
      <c r="U58" s="339">
        <v>52.320000000000007</v>
      </c>
      <c r="V58" s="488">
        <v>37</v>
      </c>
      <c r="W58" s="487">
        <v>1416930</v>
      </c>
      <c r="Z58" s="480"/>
      <c r="AA58" s="481">
        <v>34.879999999999995</v>
      </c>
      <c r="AB58" s="481">
        <v>52.320000000000007</v>
      </c>
      <c r="AC58" s="480">
        <v>37</v>
      </c>
      <c r="AD58" s="480">
        <v>1416930</v>
      </c>
    </row>
    <row r="59" spans="1:30" x14ac:dyDescent="0.2">
      <c r="A59" s="478" t="s">
        <v>440</v>
      </c>
      <c r="B59" s="478">
        <v>285</v>
      </c>
      <c r="C59" s="478">
        <v>39784573</v>
      </c>
      <c r="D59" s="478">
        <v>288568397.40000015</v>
      </c>
      <c r="E59" s="478">
        <v>14366365.060399164</v>
      </c>
      <c r="K59" s="480">
        <f t="shared" si="6"/>
        <v>24.748169898136155</v>
      </c>
      <c r="L59" s="480">
        <f t="shared" si="7"/>
        <v>36.110391483651618</v>
      </c>
      <c r="S59" s="487" t="s">
        <v>431</v>
      </c>
      <c r="T59" s="339">
        <v>26.122499999999995</v>
      </c>
      <c r="U59" s="339">
        <v>31.927500000000002</v>
      </c>
      <c r="V59" s="488">
        <v>14</v>
      </c>
      <c r="W59" s="487">
        <v>1588064</v>
      </c>
      <c r="Z59" s="480"/>
      <c r="AA59" s="481">
        <v>26.122499999999995</v>
      </c>
      <c r="AB59" s="481">
        <v>31.927500000000002</v>
      </c>
      <c r="AC59" s="480">
        <v>14</v>
      </c>
      <c r="AD59" s="480">
        <v>1588064</v>
      </c>
    </row>
    <row r="60" spans="1:30" x14ac:dyDescent="0.2">
      <c r="A60" s="478" t="s">
        <v>444</v>
      </c>
      <c r="B60" s="478">
        <v>179</v>
      </c>
      <c r="C60" s="478">
        <v>23107354</v>
      </c>
      <c r="D60" s="478">
        <v>181218514.00000003</v>
      </c>
      <c r="E60" s="478">
        <v>7997721.8418213455</v>
      </c>
      <c r="K60" s="480">
        <f t="shared" si="6"/>
        <v>26.75847566830889</v>
      </c>
      <c r="L60" s="480">
        <f t="shared" si="7"/>
        <v>34.611153842284779</v>
      </c>
      <c r="S60" s="487" t="s">
        <v>433</v>
      </c>
      <c r="T60" s="339">
        <v>58.040000000000006</v>
      </c>
      <c r="U60" s="339">
        <v>87.059999999999988</v>
      </c>
      <c r="V60" s="488">
        <v>2</v>
      </c>
      <c r="W60" s="487">
        <v>268228</v>
      </c>
      <c r="Z60" s="480"/>
      <c r="AA60" s="481">
        <v>58.040000000000006</v>
      </c>
      <c r="AB60" s="481">
        <v>87.059999999999988</v>
      </c>
      <c r="AC60" s="480">
        <v>2</v>
      </c>
      <c r="AD60" s="480">
        <v>268228</v>
      </c>
    </row>
    <row r="61" spans="1:30" x14ac:dyDescent="0.2">
      <c r="A61" s="478" t="s">
        <v>425</v>
      </c>
      <c r="B61" s="478">
        <v>508</v>
      </c>
      <c r="C61" s="478">
        <v>99621007</v>
      </c>
      <c r="D61" s="478">
        <v>1704928874.9000008</v>
      </c>
      <c r="E61" s="478">
        <v>4693603.8416307596</v>
      </c>
      <c r="K61" s="480">
        <f t="shared" si="6"/>
        <v>58.393480414816558</v>
      </c>
      <c r="L61" s="480">
        <f t="shared" si="7"/>
        <v>4.7114599450201906</v>
      </c>
      <c r="S61" s="487" t="s">
        <v>489</v>
      </c>
      <c r="T61" s="339">
        <v>1.2899999999999991</v>
      </c>
      <c r="U61" s="339">
        <v>11.610000000000001</v>
      </c>
      <c r="V61" s="339">
        <v>25</v>
      </c>
      <c r="W61" s="339">
        <v>3460183</v>
      </c>
      <c r="Z61" s="480"/>
      <c r="AA61" s="481">
        <v>1.2899999999999991</v>
      </c>
      <c r="AB61" s="481">
        <v>11.610000000000001</v>
      </c>
      <c r="AC61" s="480">
        <v>25</v>
      </c>
      <c r="AD61" s="480">
        <v>3460183</v>
      </c>
    </row>
    <row r="62" spans="1:30" x14ac:dyDescent="0.2">
      <c r="K62" s="480"/>
      <c r="L62" s="480"/>
      <c r="S62" s="487"/>
      <c r="T62" s="339"/>
      <c r="U62" s="339"/>
      <c r="V62" s="339"/>
      <c r="W62" s="339"/>
      <c r="Z62" s="480"/>
    </row>
    <row r="64" spans="1:30" x14ac:dyDescent="0.2">
      <c r="S64" s="478" t="s">
        <v>447</v>
      </c>
      <c r="T64" s="493" t="s">
        <v>418</v>
      </c>
      <c r="X64" s="478">
        <f>A62</f>
        <v>0</v>
      </c>
    </row>
    <row r="65" spans="1:38" x14ac:dyDescent="0.2">
      <c r="A65" s="478" t="s">
        <v>418</v>
      </c>
      <c r="S65" s="173" t="s">
        <v>450</v>
      </c>
      <c r="T65" s="336" t="s">
        <v>131</v>
      </c>
    </row>
    <row r="66" spans="1:38" ht="38.25" x14ac:dyDescent="0.2">
      <c r="A66" s="478" t="s">
        <v>1315</v>
      </c>
      <c r="E66" s="478" t="s">
        <v>1316</v>
      </c>
      <c r="S66" s="486" t="s">
        <v>1308</v>
      </c>
      <c r="T66" s="224" t="s">
        <v>418</v>
      </c>
    </row>
    <row r="67" spans="1:38" x14ac:dyDescent="0.2">
      <c r="S67" s="487" t="s">
        <v>1288</v>
      </c>
      <c r="T67" s="487" t="s">
        <v>459</v>
      </c>
      <c r="U67" s="487" t="s">
        <v>459</v>
      </c>
      <c r="V67" s="487" t="s">
        <v>460</v>
      </c>
      <c r="W67" s="487" t="s">
        <v>460</v>
      </c>
      <c r="Z67" s="583" t="s">
        <v>1514</v>
      </c>
    </row>
    <row r="68" spans="1:38" x14ac:dyDescent="0.2">
      <c r="D68" s="478" t="s">
        <v>1317</v>
      </c>
      <c r="S68" s="487" t="s">
        <v>462</v>
      </c>
      <c r="T68" s="487"/>
      <c r="U68" s="487"/>
      <c r="V68" s="487"/>
      <c r="W68" s="487"/>
    </row>
    <row r="69" spans="1:38" ht="51" x14ac:dyDescent="0.25">
      <c r="A69" s="478" t="s">
        <v>1318</v>
      </c>
      <c r="B69" s="478" t="s">
        <v>1319</v>
      </c>
      <c r="C69" s="478" t="s">
        <v>535</v>
      </c>
      <c r="D69" s="480">
        <v>51900756.571905397</v>
      </c>
      <c r="E69" s="478" t="s">
        <v>1320</v>
      </c>
      <c r="L69" s="478" t="s">
        <v>1321</v>
      </c>
      <c r="M69" s="478" t="s">
        <v>418</v>
      </c>
      <c r="S69" s="333" t="s">
        <v>1294</v>
      </c>
      <c r="T69" s="334" t="s">
        <v>470</v>
      </c>
      <c r="U69" s="334" t="s">
        <v>471</v>
      </c>
      <c r="V69" s="335" t="s">
        <v>1295</v>
      </c>
      <c r="W69" s="335" t="s">
        <v>1314</v>
      </c>
      <c r="X69" s="478" t="s">
        <v>1322</v>
      </c>
      <c r="Z69" s="263"/>
      <c r="AA69" s="263" t="s">
        <v>1515</v>
      </c>
      <c r="AB69" s="263"/>
      <c r="AC69" s="263"/>
      <c r="AD69" s="263" t="s">
        <v>1516</v>
      </c>
      <c r="AE69" s="263" t="s">
        <v>1517</v>
      </c>
      <c r="AF69" s="263" t="s">
        <v>1518</v>
      </c>
      <c r="AG69" s="263" t="s">
        <v>504</v>
      </c>
      <c r="AH69" s="263" t="s">
        <v>1519</v>
      </c>
      <c r="AI69" s="263" t="s">
        <v>1520</v>
      </c>
      <c r="AJ69" s="263" t="s">
        <v>1521</v>
      </c>
      <c r="AK69" s="263" t="s">
        <v>508</v>
      </c>
      <c r="AL69" s="263" t="s">
        <v>1522</v>
      </c>
    </row>
    <row r="70" spans="1:38" ht="15" x14ac:dyDescent="0.25">
      <c r="C70" s="478" t="s">
        <v>536</v>
      </c>
      <c r="D70" s="480">
        <v>63225991.096586898</v>
      </c>
      <c r="E70" s="478" t="s">
        <v>1323</v>
      </c>
      <c r="L70" s="478" t="s">
        <v>111</v>
      </c>
      <c r="M70" s="480">
        <v>24003916</v>
      </c>
      <c r="S70" s="487" t="s">
        <v>442</v>
      </c>
      <c r="T70" s="339">
        <v>6.5499584443173688</v>
      </c>
      <c r="U70" s="339">
        <v>23.222579938943397</v>
      </c>
      <c r="V70" s="339">
        <v>305</v>
      </c>
      <c r="W70" s="339">
        <v>25788474</v>
      </c>
      <c r="X70" s="480">
        <v>25788474</v>
      </c>
      <c r="Z70" s="263" t="s">
        <v>535</v>
      </c>
      <c r="AA70" s="264">
        <v>39552835.101460204</v>
      </c>
      <c r="AB70" s="264"/>
      <c r="AC70" s="264"/>
      <c r="AD70" s="264">
        <v>39.914555030062367</v>
      </c>
      <c r="AE70" s="264">
        <v>30.520456706628707</v>
      </c>
      <c r="AF70" s="264">
        <v>11.524103724374966</v>
      </c>
      <c r="AG70" s="264">
        <v>18.996352982253743</v>
      </c>
      <c r="AH70" s="264">
        <v>9.3940983234336617</v>
      </c>
      <c r="AI70" s="264">
        <v>2.6385327363060016</v>
      </c>
      <c r="AJ70" s="264">
        <v>2.0186983420567159</v>
      </c>
      <c r="AK70" s="264">
        <v>4.7368672450709441</v>
      </c>
      <c r="AL70" s="264">
        <v>0</v>
      </c>
    </row>
    <row r="71" spans="1:38" ht="15" x14ac:dyDescent="0.25">
      <c r="C71" s="478" t="s">
        <v>537</v>
      </c>
      <c r="D71" s="480">
        <v>46068690.955215</v>
      </c>
      <c r="E71" s="478" t="s">
        <v>1323</v>
      </c>
      <c r="L71" s="478" t="s">
        <v>393</v>
      </c>
      <c r="M71" s="480">
        <v>1907475</v>
      </c>
      <c r="S71" s="487" t="s">
        <v>440</v>
      </c>
      <c r="T71" s="339">
        <v>2.3296210307295908</v>
      </c>
      <c r="U71" s="339">
        <v>30.950679408264584</v>
      </c>
      <c r="V71" s="339">
        <v>106</v>
      </c>
      <c r="W71" s="339">
        <v>13179312</v>
      </c>
      <c r="X71" s="480">
        <v>13179312</v>
      </c>
      <c r="Z71" s="263" t="s">
        <v>536</v>
      </c>
      <c r="AA71" s="264">
        <v>56727677.027716301</v>
      </c>
      <c r="AB71" s="264"/>
      <c r="AC71" s="264"/>
      <c r="AD71" s="264">
        <v>36.154950325290741</v>
      </c>
      <c r="AE71" s="264">
        <v>26.471220761404446</v>
      </c>
      <c r="AF71" s="264">
        <v>13.132282537677758</v>
      </c>
      <c r="AG71" s="264">
        <v>13.338938223726688</v>
      </c>
      <c r="AH71" s="264">
        <v>9.683729563886299</v>
      </c>
      <c r="AI71" s="264">
        <v>0.58219639460547723</v>
      </c>
      <c r="AJ71" s="264">
        <v>1.5335899575690934</v>
      </c>
      <c r="AK71" s="264">
        <v>7.5679432117117287</v>
      </c>
      <c r="AL71" s="264">
        <v>0</v>
      </c>
    </row>
    <row r="72" spans="1:38" ht="15" x14ac:dyDescent="0.25">
      <c r="C72" s="478" t="s">
        <v>922</v>
      </c>
      <c r="D72" s="480">
        <v>377036646.13840503</v>
      </c>
      <c r="L72" s="478" t="s">
        <v>403</v>
      </c>
      <c r="M72" s="480">
        <v>410849</v>
      </c>
      <c r="S72" s="487" t="s">
        <v>444</v>
      </c>
      <c r="T72" s="339">
        <v>0.96146233044410678</v>
      </c>
      <c r="U72" s="339">
        <v>31.087282017692793</v>
      </c>
      <c r="V72" s="339">
        <v>104</v>
      </c>
      <c r="W72" s="339">
        <v>10261521</v>
      </c>
      <c r="X72" s="480">
        <v>10261521</v>
      </c>
      <c r="Z72" s="263" t="s">
        <v>537</v>
      </c>
      <c r="AA72" s="264">
        <v>43237920.341699101</v>
      </c>
      <c r="AB72" s="264"/>
      <c r="AC72" s="264"/>
      <c r="AD72" s="264">
        <v>48.505928181515159</v>
      </c>
      <c r="AE72" s="264">
        <v>31.259550433329444</v>
      </c>
      <c r="AF72" s="264">
        <v>21.200291453530212</v>
      </c>
      <c r="AG72" s="264">
        <v>10.059258979799234</v>
      </c>
      <c r="AH72" s="264">
        <v>17.246377748185711</v>
      </c>
      <c r="AI72" s="264">
        <v>5.4502740206552955</v>
      </c>
      <c r="AJ72" s="264">
        <v>8.3534180266360529</v>
      </c>
      <c r="AK72" s="264">
        <v>3.4426857008943625</v>
      </c>
      <c r="AL72" s="264">
        <v>0</v>
      </c>
    </row>
    <row r="73" spans="1:38" ht="15" x14ac:dyDescent="0.25">
      <c r="A73" s="478" t="s">
        <v>1324</v>
      </c>
      <c r="B73" s="478" t="s">
        <v>1319</v>
      </c>
      <c r="C73" s="478" t="s">
        <v>538</v>
      </c>
      <c r="D73" s="480">
        <v>18980559.600000001</v>
      </c>
      <c r="E73" s="478" t="s">
        <v>486</v>
      </c>
      <c r="L73" s="478" t="s">
        <v>483</v>
      </c>
      <c r="M73" s="480">
        <v>1209000</v>
      </c>
      <c r="S73" s="487" t="s">
        <v>111</v>
      </c>
      <c r="T73" s="339">
        <v>22.16797286061896</v>
      </c>
      <c r="U73" s="339">
        <v>22.16797286061896</v>
      </c>
      <c r="V73" s="488">
        <v>157</v>
      </c>
      <c r="W73" s="487">
        <v>24003916</v>
      </c>
      <c r="X73" s="480">
        <v>24003916</v>
      </c>
      <c r="Z73" s="263" t="s">
        <v>538</v>
      </c>
      <c r="AA73" s="264">
        <v>17477267.802249499</v>
      </c>
      <c r="AB73" s="264"/>
      <c r="AC73" s="264"/>
      <c r="AD73" s="264">
        <v>74.964102721225331</v>
      </c>
      <c r="AE73" s="264">
        <v>56.130768677396034</v>
      </c>
      <c r="AF73" s="264">
        <v>15.505921323567501</v>
      </c>
      <c r="AG73" s="264">
        <v>40.624847353828535</v>
      </c>
      <c r="AH73" s="264">
        <v>18.8333340438293</v>
      </c>
      <c r="AI73" s="264">
        <v>13.629156194569056</v>
      </c>
      <c r="AJ73" s="264">
        <v>5.204177849260244</v>
      </c>
      <c r="AK73" s="264">
        <v>0</v>
      </c>
      <c r="AL73" s="264">
        <v>0</v>
      </c>
    </row>
    <row r="74" spans="1:38" ht="15" x14ac:dyDescent="0.25">
      <c r="C74" s="478" t="s">
        <v>539</v>
      </c>
      <c r="D74" s="480">
        <v>4871595</v>
      </c>
      <c r="E74" s="478" t="s">
        <v>393</v>
      </c>
      <c r="L74" s="478" t="s">
        <v>484</v>
      </c>
      <c r="M74" s="480">
        <v>4176747</v>
      </c>
      <c r="S74" s="487" t="s">
        <v>393</v>
      </c>
      <c r="T74" s="339">
        <v>86.729267207637889</v>
      </c>
      <c r="U74" s="339">
        <v>130.09390081145679</v>
      </c>
      <c r="V74" s="488">
        <v>27</v>
      </c>
      <c r="W74" s="487">
        <v>1907475</v>
      </c>
      <c r="X74" s="480">
        <v>1907475</v>
      </c>
      <c r="Z74" s="263" t="s">
        <v>539</v>
      </c>
      <c r="AA74" s="264">
        <v>4664472.8824059702</v>
      </c>
      <c r="AB74" s="264"/>
      <c r="AC74" s="264"/>
      <c r="AD74" s="264">
        <v>209.88713327302915</v>
      </c>
      <c r="AE74" s="264">
        <v>155.30142899148535</v>
      </c>
      <c r="AF74" s="264">
        <v>12.050544742505901</v>
      </c>
      <c r="AG74" s="264">
        <v>143.25088424897945</v>
      </c>
      <c r="AH74" s="264">
        <v>54.585704281543798</v>
      </c>
      <c r="AI74" s="264">
        <v>26.4037810750274</v>
      </c>
      <c r="AJ74" s="264">
        <v>18.896432022577599</v>
      </c>
      <c r="AK74" s="264">
        <v>9.2854911839388006</v>
      </c>
      <c r="AL74" s="264">
        <v>0</v>
      </c>
    </row>
    <row r="75" spans="1:38" ht="15" x14ac:dyDescent="0.25">
      <c r="C75" s="478" t="s">
        <v>540</v>
      </c>
      <c r="D75" s="480">
        <v>16460899.75</v>
      </c>
      <c r="E75" s="478" t="s">
        <v>483</v>
      </c>
      <c r="L75" s="478" t="s">
        <v>416</v>
      </c>
      <c r="M75" s="480">
        <v>14454731</v>
      </c>
      <c r="S75" s="487" t="s">
        <v>403</v>
      </c>
      <c r="T75" s="339">
        <v>77.413838101041677</v>
      </c>
      <c r="U75" s="339">
        <v>60.825158507961312</v>
      </c>
      <c r="V75" s="488">
        <v>12</v>
      </c>
      <c r="W75" s="487">
        <v>410849</v>
      </c>
      <c r="X75" s="480">
        <v>410849</v>
      </c>
      <c r="Z75" s="263" t="s">
        <v>540</v>
      </c>
      <c r="AA75" s="264">
        <v>14907314.600481899</v>
      </c>
      <c r="AB75" s="264"/>
      <c r="AC75" s="264"/>
      <c r="AD75" s="264">
        <v>199.80908018152348</v>
      </c>
      <c r="AE75" s="264">
        <v>96.40828746031093</v>
      </c>
      <c r="AF75" s="264">
        <v>38.557047176524399</v>
      </c>
      <c r="AG75" s="264">
        <v>57.851240283786531</v>
      </c>
      <c r="AH75" s="264">
        <v>103.40079272121255</v>
      </c>
      <c r="AI75" s="264">
        <v>53.199885622848399</v>
      </c>
      <c r="AJ75" s="264">
        <v>47.975460361178499</v>
      </c>
      <c r="AK75" s="264">
        <v>2.2254467371856501</v>
      </c>
      <c r="AL75" s="264">
        <v>0</v>
      </c>
    </row>
    <row r="76" spans="1:38" ht="15" x14ac:dyDescent="0.25">
      <c r="C76" s="478" t="s">
        <v>541</v>
      </c>
      <c r="D76" s="480">
        <v>19309294.399999999</v>
      </c>
      <c r="E76" s="478" t="s">
        <v>529</v>
      </c>
      <c r="L76" s="478" t="s">
        <v>485</v>
      </c>
      <c r="M76" s="480">
        <v>1839008</v>
      </c>
      <c r="S76" s="487" t="s">
        <v>483</v>
      </c>
      <c r="T76" s="339">
        <v>132.21265605329577</v>
      </c>
      <c r="U76" s="339">
        <v>122.04245174150378</v>
      </c>
      <c r="V76" s="488">
        <v>5</v>
      </c>
      <c r="W76" s="487">
        <v>1337399</v>
      </c>
      <c r="X76" s="480">
        <v>1337399</v>
      </c>
      <c r="Z76" s="263" t="s">
        <v>541</v>
      </c>
      <c r="AA76" s="264">
        <v>17568067.083151501</v>
      </c>
      <c r="AB76" s="264"/>
      <c r="AC76" s="264"/>
      <c r="AD76" s="264">
        <v>100.93433105342444</v>
      </c>
      <c r="AE76" s="264">
        <v>47.807506517763805</v>
      </c>
      <c r="AF76" s="264">
        <v>19.613373548583599</v>
      </c>
      <c r="AG76" s="264">
        <v>28.194132969180206</v>
      </c>
      <c r="AH76" s="264">
        <v>53.126824535660631</v>
      </c>
      <c r="AI76" s="264">
        <v>11.676239121206649</v>
      </c>
      <c r="AJ76" s="264">
        <v>29.963338566677642</v>
      </c>
      <c r="AK76" s="264">
        <v>7.0798855038111501</v>
      </c>
      <c r="AL76" s="264">
        <v>4.4073613439651904</v>
      </c>
    </row>
    <row r="77" spans="1:38" ht="15" x14ac:dyDescent="0.25">
      <c r="C77" s="478" t="s">
        <v>425</v>
      </c>
      <c r="D77" s="480">
        <v>100846898.25</v>
      </c>
      <c r="E77" s="478" t="s">
        <v>425</v>
      </c>
      <c r="L77" s="478" t="s">
        <v>486</v>
      </c>
      <c r="M77" s="480">
        <v>6165819</v>
      </c>
      <c r="S77" s="487" t="s">
        <v>484</v>
      </c>
      <c r="T77" s="339">
        <v>11.263967214540365</v>
      </c>
      <c r="U77" s="339">
        <v>63.829147549062078</v>
      </c>
      <c r="V77" s="488">
        <v>27</v>
      </c>
      <c r="W77" s="487">
        <v>4176747</v>
      </c>
      <c r="X77" s="480">
        <v>4176747</v>
      </c>
      <c r="Z77" s="263" t="s">
        <v>425</v>
      </c>
      <c r="AA77" s="264">
        <v>96569239.451812699</v>
      </c>
      <c r="AB77" s="264"/>
      <c r="AC77" s="264"/>
      <c r="AD77" s="264">
        <v>76.534127216901609</v>
      </c>
      <c r="AE77" s="264">
        <v>62.033772761274307</v>
      </c>
      <c r="AF77" s="264">
        <v>22.0307372985333</v>
      </c>
      <c r="AG77" s="264">
        <v>40.003035462741011</v>
      </c>
      <c r="AH77" s="264">
        <v>14.500354455627306</v>
      </c>
      <c r="AI77" s="264">
        <v>13.133636738656609</v>
      </c>
      <c r="AJ77" s="264">
        <v>1.3667177169706979</v>
      </c>
      <c r="AK77" s="264">
        <v>0</v>
      </c>
      <c r="AL77" s="264">
        <v>0</v>
      </c>
    </row>
    <row r="78" spans="1:38" ht="15" x14ac:dyDescent="0.25">
      <c r="C78" s="478" t="s">
        <v>542</v>
      </c>
      <c r="D78" s="480">
        <v>34225768.649999999</v>
      </c>
      <c r="L78" s="478" t="s">
        <v>487</v>
      </c>
      <c r="M78" s="480">
        <v>49229307</v>
      </c>
      <c r="S78" s="487" t="s">
        <v>416</v>
      </c>
      <c r="T78" s="339">
        <v>34.504260375146501</v>
      </c>
      <c r="U78" s="339">
        <v>33.821007694450529</v>
      </c>
      <c r="V78" s="488">
        <v>108</v>
      </c>
      <c r="W78" s="487">
        <v>14454731</v>
      </c>
      <c r="X78" s="480">
        <v>14454731</v>
      </c>
      <c r="Z78" s="263" t="s">
        <v>542</v>
      </c>
      <c r="AA78" s="264">
        <v>32379964.866245199</v>
      </c>
      <c r="AB78" s="264"/>
      <c r="AC78" s="264"/>
      <c r="AD78" s="264">
        <v>74.703840639838845</v>
      </c>
      <c r="AE78" s="264">
        <v>44.933775348881198</v>
      </c>
      <c r="AF78" s="264">
        <v>6.4821043030485797</v>
      </c>
      <c r="AG78" s="264">
        <v>38.451671045832619</v>
      </c>
      <c r="AH78" s="264">
        <v>29.770065290957646</v>
      </c>
      <c r="AI78" s="264">
        <v>23.855126410254229</v>
      </c>
      <c r="AJ78" s="264">
        <v>2.2512912856293359</v>
      </c>
      <c r="AK78" s="264">
        <v>1.7646424705436301</v>
      </c>
      <c r="AL78" s="264">
        <v>1.89900512453045</v>
      </c>
    </row>
    <row r="79" spans="1:38" ht="15" x14ac:dyDescent="0.25">
      <c r="C79" s="478" t="s">
        <v>543</v>
      </c>
      <c r="D79" s="480">
        <v>8556782</v>
      </c>
      <c r="E79" s="478" t="s">
        <v>653</v>
      </c>
      <c r="L79" s="478" t="s">
        <v>425</v>
      </c>
      <c r="M79" s="480">
        <v>54225910</v>
      </c>
      <c r="S79" s="487" t="s">
        <v>485</v>
      </c>
      <c r="T79" s="339">
        <v>23.087218676118475</v>
      </c>
      <c r="U79" s="339">
        <v>41.043944313099523</v>
      </c>
      <c r="V79" s="488">
        <v>11</v>
      </c>
      <c r="W79" s="487">
        <v>1839008</v>
      </c>
      <c r="X79" s="480">
        <v>1839008</v>
      </c>
      <c r="Z79" s="263" t="s">
        <v>543</v>
      </c>
      <c r="AA79" s="264">
        <v>7870325.2294328297</v>
      </c>
      <c r="AB79" s="264"/>
      <c r="AC79" s="264"/>
      <c r="AD79" s="264">
        <v>310.24678183067232</v>
      </c>
      <c r="AE79" s="264">
        <v>101.20730466749124</v>
      </c>
      <c r="AF79" s="264">
        <v>18.625920243660801</v>
      </c>
      <c r="AG79" s="264">
        <v>82.581384423830443</v>
      </c>
      <c r="AH79" s="264">
        <v>209.03947716318106</v>
      </c>
      <c r="AI79" s="264">
        <v>5.0006589697324699</v>
      </c>
      <c r="AJ79" s="264">
        <v>55.463408970520597</v>
      </c>
      <c r="AK79" s="264">
        <v>148.57540922292799</v>
      </c>
      <c r="AL79" s="264">
        <v>0</v>
      </c>
    </row>
    <row r="80" spans="1:38" ht="15" x14ac:dyDescent="0.25">
      <c r="C80" s="478" t="s">
        <v>544</v>
      </c>
      <c r="D80" s="480">
        <v>11317956</v>
      </c>
      <c r="E80" s="478" t="s">
        <v>111</v>
      </c>
      <c r="L80" s="478" t="s">
        <v>173</v>
      </c>
      <c r="M80" s="480">
        <v>12323030</v>
      </c>
      <c r="S80" s="487" t="s">
        <v>486</v>
      </c>
      <c r="T80" s="339">
        <v>17.476567750436615</v>
      </c>
      <c r="U80" s="339">
        <v>40.778658084352116</v>
      </c>
      <c r="V80" s="488">
        <v>67</v>
      </c>
      <c r="W80" s="487">
        <v>6165819</v>
      </c>
      <c r="X80" s="480">
        <v>6165819</v>
      </c>
      <c r="Z80" s="263" t="s">
        <v>544</v>
      </c>
      <c r="AA80" s="264">
        <v>10754957.7855321</v>
      </c>
      <c r="AB80" s="264"/>
      <c r="AC80" s="264"/>
      <c r="AD80" s="264">
        <v>59.729000106756239</v>
      </c>
      <c r="AE80" s="264">
        <v>30.4928755845091</v>
      </c>
      <c r="AF80" s="264">
        <v>6.0944418430226603</v>
      </c>
      <c r="AG80" s="264">
        <v>24.398433741486439</v>
      </c>
      <c r="AH80" s="264">
        <v>29.236124522247138</v>
      </c>
      <c r="AI80" s="264">
        <v>21.991889112108741</v>
      </c>
      <c r="AJ80" s="264">
        <v>4.5162779529577968</v>
      </c>
      <c r="AK80" s="264">
        <v>0.89436044268766901</v>
      </c>
      <c r="AL80" s="264">
        <v>1.8335970144929301</v>
      </c>
    </row>
    <row r="81" spans="1:38" ht="15" x14ac:dyDescent="0.25">
      <c r="C81" s="478" t="s">
        <v>545</v>
      </c>
      <c r="D81" s="480">
        <v>4521778</v>
      </c>
      <c r="E81" s="478" t="s">
        <v>111</v>
      </c>
      <c r="L81" s="478" t="s">
        <v>427</v>
      </c>
      <c r="M81" s="480">
        <v>5078316</v>
      </c>
      <c r="S81" s="487" t="s">
        <v>425</v>
      </c>
      <c r="T81" s="339">
        <v>2.5848953041318552</v>
      </c>
      <c r="U81" s="339">
        <v>49.11301077850537</v>
      </c>
      <c r="V81" s="488">
        <v>324</v>
      </c>
      <c r="W81" s="487">
        <v>54225910</v>
      </c>
      <c r="X81" s="480">
        <v>54225910</v>
      </c>
      <c r="Z81" s="263" t="s">
        <v>545</v>
      </c>
      <c r="AA81" s="264">
        <v>4173916.3133058399</v>
      </c>
      <c r="AB81" s="264"/>
      <c r="AC81" s="264"/>
      <c r="AD81" s="264">
        <v>131.9866179635145</v>
      </c>
      <c r="AE81" s="264">
        <v>60.539961849829879</v>
      </c>
      <c r="AF81" s="264">
        <v>15.236577832155699</v>
      </c>
      <c r="AG81" s="264">
        <v>45.303384017674176</v>
      </c>
      <c r="AH81" s="264">
        <v>71.446656113684611</v>
      </c>
      <c r="AI81" s="264">
        <v>50.006232691512196</v>
      </c>
      <c r="AJ81" s="264">
        <v>17.683519137074011</v>
      </c>
      <c r="AK81" s="264">
        <v>2.0051642801810301</v>
      </c>
      <c r="AL81" s="264">
        <v>1.7517400049173599</v>
      </c>
    </row>
    <row r="82" spans="1:38" ht="15" x14ac:dyDescent="0.25">
      <c r="C82" s="478" t="s">
        <v>546</v>
      </c>
      <c r="D82" s="480">
        <v>20551774</v>
      </c>
      <c r="E82" s="478" t="s">
        <v>111</v>
      </c>
      <c r="L82" s="478" t="s">
        <v>488</v>
      </c>
      <c r="M82" s="480">
        <v>639680</v>
      </c>
      <c r="S82" s="487" t="s">
        <v>173</v>
      </c>
      <c r="T82" s="339">
        <v>23.067117684886028</v>
      </c>
      <c r="U82" s="339">
        <v>39.27644362561675</v>
      </c>
      <c r="V82" s="488">
        <v>95</v>
      </c>
      <c r="W82" s="487">
        <v>12323030</v>
      </c>
      <c r="X82" s="480">
        <v>12323030</v>
      </c>
      <c r="Z82" s="263" t="s">
        <v>546</v>
      </c>
      <c r="AA82" s="264">
        <v>18970720.094169799</v>
      </c>
      <c r="AB82" s="264"/>
      <c r="AC82" s="264"/>
      <c r="AD82" s="264">
        <v>106.90962598187639</v>
      </c>
      <c r="AE82" s="264">
        <v>60.539961849829879</v>
      </c>
      <c r="AF82" s="264">
        <v>15.236577832155699</v>
      </c>
      <c r="AG82" s="264">
        <v>45.303384017674176</v>
      </c>
      <c r="AH82" s="264">
        <v>46.369664132046516</v>
      </c>
      <c r="AI82" s="264">
        <v>32.743655497030183</v>
      </c>
      <c r="AJ82" s="264">
        <v>13.250318206506494</v>
      </c>
      <c r="AK82" s="264">
        <v>0.20051642801810299</v>
      </c>
      <c r="AL82" s="264">
        <v>0.17517400049173601</v>
      </c>
    </row>
    <row r="83" spans="1:38" ht="15" x14ac:dyDescent="0.25">
      <c r="C83" s="478" t="s">
        <v>79</v>
      </c>
      <c r="D83" s="480">
        <v>19933807</v>
      </c>
      <c r="E83" s="478" t="s">
        <v>489</v>
      </c>
      <c r="L83" s="478" t="s">
        <v>431</v>
      </c>
      <c r="M83" s="480">
        <v>1714520</v>
      </c>
      <c r="S83" s="487" t="s">
        <v>427</v>
      </c>
      <c r="T83" s="339">
        <v>45.399625746032548</v>
      </c>
      <c r="U83" s="339">
        <v>39.459487797953521</v>
      </c>
      <c r="V83" s="488">
        <v>46</v>
      </c>
      <c r="W83" s="487">
        <v>5078316</v>
      </c>
      <c r="X83" s="480">
        <v>5078316</v>
      </c>
      <c r="Z83" s="263" t="s">
        <v>79</v>
      </c>
      <c r="AA83" s="264">
        <v>18663560.253881801</v>
      </c>
      <c r="AB83" s="264"/>
      <c r="AC83" s="264"/>
      <c r="AD83" s="264">
        <v>39.807444435787595</v>
      </c>
      <c r="AE83" s="264">
        <v>28.583520009795265</v>
      </c>
      <c r="AF83" s="264">
        <v>3.2174402784373299</v>
      </c>
      <c r="AG83" s="264">
        <v>25.366079731357935</v>
      </c>
      <c r="AH83" s="264">
        <v>11.22392442599233</v>
      </c>
      <c r="AI83" s="264">
        <v>9.3852973293495605</v>
      </c>
      <c r="AJ83" s="264">
        <v>1.83862709664277</v>
      </c>
      <c r="AK83" s="264">
        <v>0</v>
      </c>
      <c r="AL83" s="264">
        <v>0</v>
      </c>
    </row>
    <row r="84" spans="1:38" x14ac:dyDescent="0.2">
      <c r="L84" s="478" t="s">
        <v>433</v>
      </c>
      <c r="M84" s="480">
        <v>405042</v>
      </c>
      <c r="S84" s="487" t="s">
        <v>488</v>
      </c>
      <c r="T84" s="339">
        <v>37.682189444105894</v>
      </c>
      <c r="U84" s="339">
        <v>44.235613695254749</v>
      </c>
      <c r="V84" s="488">
        <v>3</v>
      </c>
      <c r="W84" s="487">
        <v>639680</v>
      </c>
      <c r="X84" s="480">
        <v>639680</v>
      </c>
    </row>
    <row r="85" spans="1:38" x14ac:dyDescent="0.2">
      <c r="L85" s="478" t="s">
        <v>489</v>
      </c>
      <c r="M85" s="480">
        <v>13724146</v>
      </c>
      <c r="S85" s="487" t="s">
        <v>431</v>
      </c>
      <c r="T85" s="339">
        <v>25.634607577914664</v>
      </c>
      <c r="U85" s="339">
        <v>12.063344742548077</v>
      </c>
      <c r="V85" s="488">
        <v>51</v>
      </c>
      <c r="W85" s="487">
        <v>1714520</v>
      </c>
      <c r="X85" s="480">
        <v>1714520</v>
      </c>
    </row>
    <row r="86" spans="1:38" x14ac:dyDescent="0.2">
      <c r="S86" s="487" t="s">
        <v>433</v>
      </c>
      <c r="T86" s="339">
        <v>66.514118603369383</v>
      </c>
      <c r="U86" s="339">
        <v>32.76068528225656</v>
      </c>
      <c r="V86" s="488">
        <v>11</v>
      </c>
      <c r="W86" s="487">
        <v>405042</v>
      </c>
      <c r="X86" s="480">
        <v>405042</v>
      </c>
    </row>
    <row r="87" spans="1:38" x14ac:dyDescent="0.2">
      <c r="S87" s="487" t="s">
        <v>489</v>
      </c>
      <c r="T87" s="339">
        <v>10.524387844661511</v>
      </c>
      <c r="U87" s="339">
        <v>19.981084168850117</v>
      </c>
      <c r="V87" s="339">
        <v>236</v>
      </c>
      <c r="W87" s="339">
        <v>13724146</v>
      </c>
      <c r="X87" s="480">
        <v>13724146</v>
      </c>
    </row>
    <row r="88" spans="1:38" x14ac:dyDescent="0.2">
      <c r="S88" s="487"/>
      <c r="T88" s="339"/>
      <c r="U88" s="339"/>
      <c r="V88" s="339"/>
      <c r="W88" s="339"/>
      <c r="X88" s="480"/>
    </row>
    <row r="91" spans="1:38" ht="13.5" thickBot="1" x14ac:dyDescent="0.25">
      <c r="S91" s="478" t="s">
        <v>447</v>
      </c>
      <c r="T91" s="493" t="s">
        <v>413</v>
      </c>
    </row>
    <row r="92" spans="1:38" ht="17.25" customHeight="1" thickBot="1" x14ac:dyDescent="0.3">
      <c r="A92" s="562"/>
      <c r="B92" s="563" t="s">
        <v>418</v>
      </c>
      <c r="C92" s="564" t="s">
        <v>405</v>
      </c>
      <c r="D92" s="564" t="s">
        <v>409</v>
      </c>
      <c r="E92" s="564" t="s">
        <v>1505</v>
      </c>
      <c r="G92" s="579" t="s">
        <v>1508</v>
      </c>
      <c r="H92" s="672" t="str">
        <f>B92</f>
        <v>Seattle</v>
      </c>
      <c r="I92" s="672"/>
      <c r="J92" s="672" t="str">
        <f>C92</f>
        <v>DC</v>
      </c>
      <c r="K92" s="672"/>
      <c r="L92" s="672" t="str">
        <f>D92</f>
        <v>NYC</v>
      </c>
      <c r="M92" s="672"/>
      <c r="N92" s="672" t="str">
        <f>E92</f>
        <v>Santa Monica*</v>
      </c>
      <c r="O92" s="672"/>
      <c r="S92" s="173" t="s">
        <v>450</v>
      </c>
      <c r="T92" s="336" t="s">
        <v>129</v>
      </c>
    </row>
    <row r="93" spans="1:38" ht="17.25" customHeight="1" thickTop="1" thickBot="1" x14ac:dyDescent="0.3">
      <c r="A93" s="565" t="s">
        <v>534</v>
      </c>
      <c r="B93" s="566" t="s">
        <v>1506</v>
      </c>
      <c r="C93" s="567" t="s">
        <v>1506</v>
      </c>
      <c r="D93" s="567" t="s">
        <v>1506</v>
      </c>
      <c r="E93" s="567" t="s">
        <v>1506</v>
      </c>
      <c r="G93" s="579" t="s">
        <v>534</v>
      </c>
      <c r="H93" s="579" t="s">
        <v>1507</v>
      </c>
      <c r="I93" s="579" t="s">
        <v>1513</v>
      </c>
      <c r="J93" s="579" t="s">
        <v>1507</v>
      </c>
      <c r="K93" s="579" t="s">
        <v>1513</v>
      </c>
      <c r="L93" s="579" t="s">
        <v>1507</v>
      </c>
      <c r="M93" s="579" t="s">
        <v>1513</v>
      </c>
      <c r="N93" s="579" t="s">
        <v>1507</v>
      </c>
      <c r="O93" s="579" t="s">
        <v>1513</v>
      </c>
      <c r="S93" s="486" t="s">
        <v>1287</v>
      </c>
      <c r="T93" s="224" t="s">
        <v>413</v>
      </c>
    </row>
    <row r="94" spans="1:38" ht="17.25" customHeight="1" thickBot="1" x14ac:dyDescent="0.3">
      <c r="A94" s="568" t="s">
        <v>1510</v>
      </c>
      <c r="B94" s="571">
        <v>67645576</v>
      </c>
      <c r="C94" s="572">
        <v>33571671</v>
      </c>
      <c r="D94" s="572">
        <v>382883357</v>
      </c>
      <c r="E94" s="572">
        <v>2677012</v>
      </c>
      <c r="G94" s="580" t="str">
        <f t="shared" ref="G94:G111" si="8">A94</f>
        <v>MF-New-Tall (4+ stories, post 1979)</v>
      </c>
      <c r="H94" s="580">
        <f t="shared" ref="H94:H111" si="9">B94</f>
        <v>67645576</v>
      </c>
      <c r="I94" s="580" t="str">
        <f>Seattle!Y12</f>
        <v>MF-New-Tall</v>
      </c>
      <c r="J94" s="580">
        <f t="shared" ref="J94:J111" si="10">C94</f>
        <v>33571671</v>
      </c>
      <c r="K94" s="580" t="e">
        <f>#REF!</f>
        <v>#REF!</v>
      </c>
      <c r="L94" s="580">
        <f t="shared" ref="L94:L111" si="11">D94</f>
        <v>382883357</v>
      </c>
      <c r="M94" s="580" t="e">
        <f>#REF!</f>
        <v>#REF!</v>
      </c>
      <c r="N94" s="580">
        <f t="shared" ref="N94:N111" si="12">E94</f>
        <v>2677012</v>
      </c>
      <c r="O94" s="580" t="e">
        <f>#REF!</f>
        <v>#REF!</v>
      </c>
      <c r="S94" s="487" t="s">
        <v>1288</v>
      </c>
      <c r="T94" s="487" t="s">
        <v>459</v>
      </c>
      <c r="U94" s="487" t="s">
        <v>459</v>
      </c>
      <c r="V94" s="487" t="s">
        <v>460</v>
      </c>
      <c r="W94" s="487"/>
    </row>
    <row r="95" spans="1:38" ht="17.25" customHeight="1" thickBot="1" x14ac:dyDescent="0.3">
      <c r="A95" s="568" t="s">
        <v>1511</v>
      </c>
      <c r="B95" s="569">
        <v>15122854</v>
      </c>
      <c r="C95" s="570">
        <v>39784573</v>
      </c>
      <c r="D95" s="570">
        <v>1702274825</v>
      </c>
      <c r="E95" s="570">
        <v>5336347</v>
      </c>
      <c r="G95" s="580" t="str">
        <f t="shared" si="8"/>
        <v>MF-Old-Tall (4+ stories, pre 1980)</v>
      </c>
      <c r="H95" s="580">
        <f t="shared" si="9"/>
        <v>15122854</v>
      </c>
      <c r="I95" s="580" t="str">
        <f>Seattle!Y13</f>
        <v>MF-Old-Tall</v>
      </c>
      <c r="J95" s="580">
        <f t="shared" si="10"/>
        <v>39784573</v>
      </c>
      <c r="K95" s="580" t="e">
        <f>#REF!</f>
        <v>#REF!</v>
      </c>
      <c r="L95" s="580">
        <f t="shared" si="11"/>
        <v>1702274825</v>
      </c>
      <c r="M95" s="580" t="e">
        <f>#REF!</f>
        <v>#REF!</v>
      </c>
      <c r="N95" s="580">
        <f t="shared" si="12"/>
        <v>5336347</v>
      </c>
      <c r="O95" s="580" t="e">
        <f>#REF!</f>
        <v>#REF!</v>
      </c>
      <c r="S95" s="487" t="s">
        <v>462</v>
      </c>
      <c r="T95" s="487"/>
      <c r="U95" s="487"/>
      <c r="V95" s="487"/>
      <c r="W95" s="487"/>
    </row>
    <row r="96" spans="1:38" ht="17.25" customHeight="1" thickBot="1" x14ac:dyDescent="0.3">
      <c r="A96" s="568" t="s">
        <v>1512</v>
      </c>
      <c r="B96" s="571">
        <v>43143974</v>
      </c>
      <c r="C96" s="572">
        <v>23107354</v>
      </c>
      <c r="D96" s="572">
        <v>69793029</v>
      </c>
      <c r="E96" s="572">
        <v>15347842</v>
      </c>
      <c r="G96" s="580" t="str">
        <f t="shared" si="8"/>
        <v>MF-Short (1-3 stories, any age)</v>
      </c>
      <c r="H96" s="580">
        <f t="shared" si="9"/>
        <v>43143974</v>
      </c>
      <c r="I96" s="580" t="str">
        <f>Seattle!Y14</f>
        <v>MF-Short</v>
      </c>
      <c r="J96" s="580">
        <f t="shared" si="10"/>
        <v>23107354</v>
      </c>
      <c r="K96" s="580" t="e">
        <f>#REF!</f>
        <v>#REF!</v>
      </c>
      <c r="L96" s="580">
        <f t="shared" si="11"/>
        <v>69793029</v>
      </c>
      <c r="M96" s="580" t="e">
        <f>#REF!</f>
        <v>#REF!</v>
      </c>
      <c r="N96" s="580">
        <f t="shared" si="12"/>
        <v>15347842</v>
      </c>
      <c r="O96" s="580" t="e">
        <f>#REF!</f>
        <v>#REF!</v>
      </c>
      <c r="S96" s="333" t="s">
        <v>1294</v>
      </c>
      <c r="T96" s="334" t="s">
        <v>470</v>
      </c>
      <c r="U96" s="334" t="s">
        <v>471</v>
      </c>
      <c r="V96" s="335" t="s">
        <v>1295</v>
      </c>
      <c r="W96" s="335"/>
    </row>
    <row r="97" spans="1:24" ht="17.25" customHeight="1" thickBot="1" x14ac:dyDescent="0.3">
      <c r="A97" s="568" t="s">
        <v>111</v>
      </c>
      <c r="B97" s="569">
        <v>24003916</v>
      </c>
      <c r="C97" s="570">
        <v>30823113</v>
      </c>
      <c r="D97" s="570">
        <v>319586694</v>
      </c>
      <c r="E97" s="570">
        <v>571840</v>
      </c>
      <c r="G97" s="580" t="str">
        <f t="shared" si="8"/>
        <v>Education</v>
      </c>
      <c r="H97" s="580">
        <f t="shared" si="9"/>
        <v>24003916</v>
      </c>
      <c r="I97" s="580" t="str">
        <f>Seattle!Y15</f>
        <v>Education</v>
      </c>
      <c r="J97" s="580">
        <f t="shared" si="10"/>
        <v>30823113</v>
      </c>
      <c r="K97" s="580" t="e">
        <f>#REF!</f>
        <v>#REF!</v>
      </c>
      <c r="L97" s="580">
        <f t="shared" si="11"/>
        <v>319586694</v>
      </c>
      <c r="M97" s="580" t="e">
        <f>#REF!</f>
        <v>#REF!</v>
      </c>
      <c r="N97" s="580">
        <f t="shared" si="12"/>
        <v>571840</v>
      </c>
      <c r="O97" s="580" t="e">
        <f>#REF!</f>
        <v>#REF!</v>
      </c>
      <c r="S97" s="487" t="s">
        <v>442</v>
      </c>
      <c r="T97" s="339"/>
      <c r="U97" s="339"/>
      <c r="V97" s="339"/>
      <c r="W97" s="487">
        <v>57</v>
      </c>
      <c r="X97" s="489">
        <v>2677012</v>
      </c>
    </row>
    <row r="98" spans="1:24" ht="17.25" customHeight="1" thickBot="1" x14ac:dyDescent="0.3">
      <c r="A98" s="568" t="s">
        <v>393</v>
      </c>
      <c r="B98" s="571">
        <v>1907475</v>
      </c>
      <c r="C98" s="572">
        <v>940936</v>
      </c>
      <c r="D98" s="572">
        <v>8579843</v>
      </c>
      <c r="E98" s="572">
        <v>309734</v>
      </c>
      <c r="G98" s="580" t="str">
        <f t="shared" si="8"/>
        <v>Food Sales</v>
      </c>
      <c r="H98" s="580">
        <f t="shared" si="9"/>
        <v>1907475</v>
      </c>
      <c r="I98" s="580" t="str">
        <f>Seattle!Y16</f>
        <v>Food sales</v>
      </c>
      <c r="J98" s="580">
        <f t="shared" si="10"/>
        <v>940936</v>
      </c>
      <c r="K98" s="580" t="e">
        <f>#REF!</f>
        <v>#REF!</v>
      </c>
      <c r="L98" s="580">
        <f t="shared" si="11"/>
        <v>8579843</v>
      </c>
      <c r="M98" s="580" t="e">
        <f>#REF!</f>
        <v>#REF!</v>
      </c>
      <c r="N98" s="580">
        <f t="shared" si="12"/>
        <v>309734</v>
      </c>
      <c r="O98" s="580" t="e">
        <f>#REF!</f>
        <v>#REF!</v>
      </c>
      <c r="S98" s="487" t="s">
        <v>440</v>
      </c>
      <c r="T98" s="339"/>
      <c r="U98" s="339"/>
      <c r="V98" s="339"/>
      <c r="W98" s="487">
        <v>128</v>
      </c>
      <c r="X98" s="489">
        <v>5336347</v>
      </c>
    </row>
    <row r="99" spans="1:24" ht="17.25" customHeight="1" thickBot="1" x14ac:dyDescent="0.3">
      <c r="A99" s="568" t="s">
        <v>403</v>
      </c>
      <c r="B99" s="569">
        <v>410849</v>
      </c>
      <c r="C99" s="570">
        <v>140000</v>
      </c>
      <c r="D99" s="570">
        <v>1341013</v>
      </c>
      <c r="E99" s="570">
        <v>357213</v>
      </c>
      <c r="G99" s="580" t="str">
        <f t="shared" si="8"/>
        <v>Food Service</v>
      </c>
      <c r="H99" s="580">
        <f t="shared" si="9"/>
        <v>410849</v>
      </c>
      <c r="I99" s="580" t="str">
        <f>Seattle!Y17</f>
        <v>Food service</v>
      </c>
      <c r="J99" s="580">
        <f t="shared" si="10"/>
        <v>140000</v>
      </c>
      <c r="K99" s="580" t="e">
        <f>#REF!</f>
        <v>#REF!</v>
      </c>
      <c r="L99" s="580">
        <f t="shared" si="11"/>
        <v>1341013</v>
      </c>
      <c r="M99" s="580" t="e">
        <f>#REF!</f>
        <v>#REF!</v>
      </c>
      <c r="N99" s="580">
        <f t="shared" si="12"/>
        <v>357213</v>
      </c>
      <c r="O99" s="580" t="e">
        <f>#REF!</f>
        <v>#REF!</v>
      </c>
      <c r="S99" s="487" t="s">
        <v>444</v>
      </c>
      <c r="T99" s="339"/>
      <c r="U99" s="339"/>
      <c r="V99" s="339"/>
      <c r="W99" s="487">
        <v>2178</v>
      </c>
      <c r="X99" s="489">
        <v>15347842</v>
      </c>
    </row>
    <row r="100" spans="1:24" ht="17.25" customHeight="1" thickBot="1" x14ac:dyDescent="0.3">
      <c r="A100" s="568" t="s">
        <v>483</v>
      </c>
      <c r="B100" s="571">
        <v>1209000</v>
      </c>
      <c r="C100" s="572">
        <v>4547948</v>
      </c>
      <c r="D100" s="572">
        <v>73584591</v>
      </c>
      <c r="E100" s="572">
        <v>1145724</v>
      </c>
      <c r="G100" s="580" t="str">
        <f t="shared" si="8"/>
        <v>Health care Inpatient</v>
      </c>
      <c r="H100" s="580">
        <f t="shared" si="9"/>
        <v>1209000</v>
      </c>
      <c r="I100" s="580" t="str">
        <f>Seattle!Y18</f>
        <v>Health care Inpatient</v>
      </c>
      <c r="J100" s="580">
        <f t="shared" si="10"/>
        <v>4547948</v>
      </c>
      <c r="K100" s="580" t="e">
        <f>#REF!</f>
        <v>#REF!</v>
      </c>
      <c r="L100" s="580">
        <f t="shared" si="11"/>
        <v>73584591</v>
      </c>
      <c r="M100" s="580" t="e">
        <f>#REF!</f>
        <v>#REF!</v>
      </c>
      <c r="N100" s="580">
        <f t="shared" si="12"/>
        <v>1145724</v>
      </c>
      <c r="O100" s="580" t="e">
        <f>#REF!</f>
        <v>#REF!</v>
      </c>
      <c r="S100" s="487" t="s">
        <v>111</v>
      </c>
      <c r="T100" s="339"/>
      <c r="U100" s="339"/>
      <c r="V100" s="488"/>
      <c r="W100" s="487">
        <f t="shared" ref="W100:W115" si="13">SUMIF($S$119:$S$188,S100,$Y$119:$Y$188)</f>
        <v>44</v>
      </c>
      <c r="X100" s="489">
        <f>SUMIF($S$119:$S$188,S100,$X$119:$X$188)</f>
        <v>571840</v>
      </c>
    </row>
    <row r="101" spans="1:24" ht="17.25" customHeight="1" thickBot="1" x14ac:dyDescent="0.3">
      <c r="A101" s="568" t="s">
        <v>484</v>
      </c>
      <c r="B101" s="569">
        <v>4176747</v>
      </c>
      <c r="C101" s="570">
        <v>2409849</v>
      </c>
      <c r="D101" s="570">
        <v>16489737</v>
      </c>
      <c r="E101" s="573">
        <v>0</v>
      </c>
      <c r="G101" s="580" t="str">
        <f t="shared" si="8"/>
        <v>Health care Outpatient</v>
      </c>
      <c r="H101" s="580">
        <f t="shared" si="9"/>
        <v>4176747</v>
      </c>
      <c r="I101" s="580" t="str">
        <f>Seattle!Y19</f>
        <v>Health care Outpatient</v>
      </c>
      <c r="J101" s="580">
        <f t="shared" si="10"/>
        <v>2409849</v>
      </c>
      <c r="K101" s="580" t="e">
        <f>#REF!</f>
        <v>#REF!</v>
      </c>
      <c r="L101" s="580">
        <f t="shared" si="11"/>
        <v>16489737</v>
      </c>
      <c r="M101" s="580" t="e">
        <f>#REF!</f>
        <v>#REF!</v>
      </c>
      <c r="N101" s="580">
        <f t="shared" si="12"/>
        <v>0</v>
      </c>
      <c r="O101" s="580" t="e">
        <f>#REF!</f>
        <v>#REF!</v>
      </c>
      <c r="S101" s="487" t="s">
        <v>393</v>
      </c>
      <c r="T101" s="339"/>
      <c r="U101" s="339"/>
      <c r="V101" s="488"/>
      <c r="W101" s="487">
        <f t="shared" si="13"/>
        <v>17</v>
      </c>
      <c r="X101" s="489">
        <f t="shared" ref="X101:X115" si="14">SUMIF($S$119:$S$188,S101,$X$119:$X$188)</f>
        <v>309734</v>
      </c>
    </row>
    <row r="102" spans="1:24" ht="17.25" customHeight="1" thickBot="1" x14ac:dyDescent="0.3">
      <c r="A102" s="568" t="s">
        <v>416</v>
      </c>
      <c r="B102" s="571">
        <v>14454731</v>
      </c>
      <c r="C102" s="572">
        <v>20580043</v>
      </c>
      <c r="D102" s="572">
        <v>189801323</v>
      </c>
      <c r="E102" s="572">
        <v>2715789</v>
      </c>
      <c r="G102" s="580" t="str">
        <f t="shared" si="8"/>
        <v>Lodging</v>
      </c>
      <c r="H102" s="580">
        <f t="shared" si="9"/>
        <v>14454731</v>
      </c>
      <c r="I102" s="580" t="str">
        <f>Seattle!Y20</f>
        <v>Lodging</v>
      </c>
      <c r="J102" s="580">
        <f t="shared" si="10"/>
        <v>20580043</v>
      </c>
      <c r="K102" s="580" t="e">
        <f>#REF!</f>
        <v>#REF!</v>
      </c>
      <c r="L102" s="580">
        <f t="shared" si="11"/>
        <v>189801323</v>
      </c>
      <c r="M102" s="580" t="e">
        <f>#REF!</f>
        <v>#REF!</v>
      </c>
      <c r="N102" s="580">
        <f t="shared" si="12"/>
        <v>2715789</v>
      </c>
      <c r="O102" s="580" t="e">
        <f>#REF!</f>
        <v>#REF!</v>
      </c>
      <c r="S102" s="487" t="s">
        <v>403</v>
      </c>
      <c r="T102" s="339"/>
      <c r="U102" s="339"/>
      <c r="V102" s="488"/>
      <c r="W102" s="487">
        <f t="shared" si="13"/>
        <v>91</v>
      </c>
      <c r="X102" s="489">
        <f t="shared" si="14"/>
        <v>357213</v>
      </c>
    </row>
    <row r="103" spans="1:24" ht="17.25" customHeight="1" thickBot="1" x14ac:dyDescent="0.3">
      <c r="A103" s="568" t="s">
        <v>485</v>
      </c>
      <c r="B103" s="569">
        <v>1839008</v>
      </c>
      <c r="C103" s="570">
        <v>1134521</v>
      </c>
      <c r="D103" s="570">
        <v>12966991</v>
      </c>
      <c r="E103" s="570">
        <v>1058111</v>
      </c>
      <c r="G103" s="580" t="str">
        <f t="shared" si="8"/>
        <v>Mercantile Enclosed and strip malls</v>
      </c>
      <c r="H103" s="580">
        <f t="shared" si="9"/>
        <v>1839008</v>
      </c>
      <c r="I103" s="580" t="str">
        <f>Seattle!Y21</f>
        <v>Mercantile Enclosed and strip malls</v>
      </c>
      <c r="J103" s="580">
        <f t="shared" si="10"/>
        <v>1134521</v>
      </c>
      <c r="K103" s="580" t="e">
        <f>#REF!</f>
        <v>#REF!</v>
      </c>
      <c r="L103" s="580">
        <f t="shared" si="11"/>
        <v>12966991</v>
      </c>
      <c r="M103" s="580" t="e">
        <f>#REF!</f>
        <v>#REF!</v>
      </c>
      <c r="N103" s="580">
        <f t="shared" si="12"/>
        <v>1058111</v>
      </c>
      <c r="O103" s="580" t="e">
        <f>#REF!</f>
        <v>#REF!</v>
      </c>
      <c r="S103" s="487" t="s">
        <v>483</v>
      </c>
      <c r="T103" s="339"/>
      <c r="U103" s="339"/>
      <c r="V103" s="488"/>
      <c r="W103" s="487">
        <f t="shared" si="13"/>
        <v>15</v>
      </c>
      <c r="X103" s="489">
        <f t="shared" si="14"/>
        <v>1145724</v>
      </c>
    </row>
    <row r="104" spans="1:24" ht="17.25" customHeight="1" thickBot="1" x14ac:dyDescent="0.3">
      <c r="A104" s="568" t="s">
        <v>486</v>
      </c>
      <c r="B104" s="571">
        <v>6165819</v>
      </c>
      <c r="C104" s="572">
        <v>1202414</v>
      </c>
      <c r="D104" s="572">
        <v>30810118</v>
      </c>
      <c r="E104" s="572">
        <v>6317545</v>
      </c>
      <c r="G104" s="580" t="str">
        <f t="shared" si="8"/>
        <v>Mercantile Retail (other than mall)</v>
      </c>
      <c r="H104" s="580">
        <f t="shared" si="9"/>
        <v>6165819</v>
      </c>
      <c r="I104" s="580" t="str">
        <f>Seattle!Y22</f>
        <v>Mercantile Retail (other than mall)</v>
      </c>
      <c r="J104" s="580">
        <f t="shared" si="10"/>
        <v>1202414</v>
      </c>
      <c r="K104" s="580" t="e">
        <f>#REF!</f>
        <v>#REF!</v>
      </c>
      <c r="L104" s="580">
        <f t="shared" si="11"/>
        <v>30810118</v>
      </c>
      <c r="M104" s="580" t="e">
        <f>#REF!</f>
        <v>#REF!</v>
      </c>
      <c r="N104" s="580">
        <f t="shared" si="12"/>
        <v>6317545</v>
      </c>
      <c r="O104" s="580" t="e">
        <f>#REF!</f>
        <v>#REF!</v>
      </c>
      <c r="S104" s="487" t="s">
        <v>484</v>
      </c>
      <c r="T104" s="339"/>
      <c r="U104" s="339"/>
      <c r="V104" s="488"/>
      <c r="W104" s="487">
        <f t="shared" si="13"/>
        <v>0</v>
      </c>
      <c r="X104" s="489">
        <f t="shared" si="14"/>
        <v>0</v>
      </c>
    </row>
    <row r="105" spans="1:24" ht="17.25" customHeight="1" thickBot="1" x14ac:dyDescent="0.3">
      <c r="A105" s="568" t="s">
        <v>425</v>
      </c>
      <c r="B105" s="569">
        <v>54225910</v>
      </c>
      <c r="C105" s="570">
        <v>99621007</v>
      </c>
      <c r="D105" s="570">
        <v>717962630</v>
      </c>
      <c r="E105" s="570">
        <v>11975697</v>
      </c>
      <c r="G105" s="580" t="str">
        <f t="shared" si="8"/>
        <v>Office</v>
      </c>
      <c r="H105" s="580">
        <f t="shared" si="9"/>
        <v>54225910</v>
      </c>
      <c r="I105" s="580" t="str">
        <f>Seattle!Y23</f>
        <v>Office</v>
      </c>
      <c r="J105" s="580">
        <f t="shared" si="10"/>
        <v>99621007</v>
      </c>
      <c r="K105" s="580" t="e">
        <f>#REF!</f>
        <v>#REF!</v>
      </c>
      <c r="L105" s="580">
        <f t="shared" si="11"/>
        <v>717962630</v>
      </c>
      <c r="M105" s="580" t="e">
        <f>#REF!</f>
        <v>#REF!</v>
      </c>
      <c r="N105" s="580">
        <f t="shared" si="12"/>
        <v>11975697</v>
      </c>
      <c r="O105" s="580" t="e">
        <f>#REF!</f>
        <v>#REF!</v>
      </c>
      <c r="S105" s="487" t="s">
        <v>416</v>
      </c>
      <c r="T105" s="339"/>
      <c r="U105" s="339"/>
      <c r="V105" s="488"/>
      <c r="W105" s="487">
        <f t="shared" si="13"/>
        <v>92</v>
      </c>
      <c r="X105" s="489">
        <f t="shared" si="14"/>
        <v>2715789</v>
      </c>
    </row>
    <row r="106" spans="1:24" ht="17.25" customHeight="1" thickBot="1" x14ac:dyDescent="0.3">
      <c r="A106" s="568" t="s">
        <v>173</v>
      </c>
      <c r="B106" s="571">
        <v>12323030</v>
      </c>
      <c r="C106" s="572">
        <v>13598799</v>
      </c>
      <c r="D106" s="572">
        <v>105696502</v>
      </c>
      <c r="E106" s="572">
        <v>1693569</v>
      </c>
      <c r="G106" s="580" t="str">
        <f t="shared" si="8"/>
        <v>Other</v>
      </c>
      <c r="H106" s="580">
        <f t="shared" si="9"/>
        <v>12323030</v>
      </c>
      <c r="I106" s="580" t="str">
        <f>Seattle!Y24</f>
        <v>Other</v>
      </c>
      <c r="J106" s="580">
        <f t="shared" si="10"/>
        <v>13598799</v>
      </c>
      <c r="K106" s="580" t="e">
        <f>#REF!</f>
        <v>#REF!</v>
      </c>
      <c r="L106" s="580">
        <f t="shared" si="11"/>
        <v>105696502</v>
      </c>
      <c r="M106" s="580" t="e">
        <f>#REF!</f>
        <v>#REF!</v>
      </c>
      <c r="N106" s="580">
        <f t="shared" si="12"/>
        <v>1693569</v>
      </c>
      <c r="O106" s="580" t="e">
        <f>#REF!</f>
        <v>#REF!</v>
      </c>
      <c r="S106" s="487" t="s">
        <v>485</v>
      </c>
      <c r="T106" s="339"/>
      <c r="U106" s="339"/>
      <c r="V106" s="488"/>
      <c r="W106" s="487">
        <f t="shared" si="13"/>
        <v>18</v>
      </c>
      <c r="X106" s="489">
        <f t="shared" si="14"/>
        <v>1058111</v>
      </c>
    </row>
    <row r="107" spans="1:24" ht="17.25" customHeight="1" thickBot="1" x14ac:dyDescent="0.3">
      <c r="A107" s="568" t="s">
        <v>427</v>
      </c>
      <c r="B107" s="569">
        <v>5078316</v>
      </c>
      <c r="C107" s="570">
        <v>4575893</v>
      </c>
      <c r="D107" s="570">
        <v>45357092</v>
      </c>
      <c r="E107" s="570">
        <v>405272</v>
      </c>
      <c r="G107" s="580" t="str">
        <f t="shared" si="8"/>
        <v>Public Assembly</v>
      </c>
      <c r="H107" s="580">
        <f t="shared" si="9"/>
        <v>5078316</v>
      </c>
      <c r="I107" s="580" t="str">
        <f>Seattle!Y25</f>
        <v>Public assembly</v>
      </c>
      <c r="J107" s="580">
        <f t="shared" si="10"/>
        <v>4575893</v>
      </c>
      <c r="K107" s="580" t="e">
        <f>#REF!</f>
        <v>#REF!</v>
      </c>
      <c r="L107" s="580">
        <f t="shared" si="11"/>
        <v>45357092</v>
      </c>
      <c r="M107" s="580" t="e">
        <f>#REF!</f>
        <v>#REF!</v>
      </c>
      <c r="N107" s="580">
        <f t="shared" si="12"/>
        <v>405272</v>
      </c>
      <c r="O107" s="580" t="e">
        <f>#REF!</f>
        <v>#REF!</v>
      </c>
      <c r="S107" s="487" t="s">
        <v>486</v>
      </c>
      <c r="T107" s="339"/>
      <c r="U107" s="339"/>
      <c r="V107" s="488"/>
      <c r="W107" s="487">
        <f t="shared" si="13"/>
        <v>792</v>
      </c>
      <c r="X107" s="489">
        <f t="shared" si="14"/>
        <v>6317545</v>
      </c>
    </row>
    <row r="108" spans="1:24" ht="17.25" customHeight="1" thickBot="1" x14ac:dyDescent="0.3">
      <c r="A108" s="568" t="s">
        <v>488</v>
      </c>
      <c r="B108" s="571">
        <v>639680</v>
      </c>
      <c r="C108" s="572">
        <v>1273878</v>
      </c>
      <c r="D108" s="572">
        <v>22091523</v>
      </c>
      <c r="E108" s="572">
        <v>224298</v>
      </c>
      <c r="G108" s="580" t="str">
        <f t="shared" si="8"/>
        <v>Public order and safety</v>
      </c>
      <c r="H108" s="580">
        <f t="shared" si="9"/>
        <v>639680</v>
      </c>
      <c r="I108" s="580" t="str">
        <f>Seattle!Y26</f>
        <v>Public order and safety</v>
      </c>
      <c r="J108" s="580">
        <f t="shared" si="10"/>
        <v>1273878</v>
      </c>
      <c r="K108" s="580" t="e">
        <f>#REF!</f>
        <v>#REF!</v>
      </c>
      <c r="L108" s="580">
        <f t="shared" si="11"/>
        <v>22091523</v>
      </c>
      <c r="M108" s="580" t="e">
        <f>#REF!</f>
        <v>#REF!</v>
      </c>
      <c r="N108" s="580">
        <f t="shared" si="12"/>
        <v>224298</v>
      </c>
      <c r="O108" s="580" t="e">
        <f>#REF!</f>
        <v>#REF!</v>
      </c>
      <c r="S108" s="487" t="s">
        <v>487</v>
      </c>
      <c r="T108" s="339"/>
      <c r="U108" s="339"/>
      <c r="V108" s="488"/>
      <c r="W108" s="487">
        <f t="shared" si="13"/>
        <v>0</v>
      </c>
      <c r="X108" s="489">
        <f t="shared" si="14"/>
        <v>0</v>
      </c>
    </row>
    <row r="109" spans="1:24" ht="17.25" customHeight="1" thickBot="1" x14ac:dyDescent="0.3">
      <c r="A109" s="568" t="s">
        <v>431</v>
      </c>
      <c r="B109" s="569">
        <v>1714520</v>
      </c>
      <c r="C109" s="570">
        <v>268228</v>
      </c>
      <c r="D109" s="570">
        <v>10555813</v>
      </c>
      <c r="E109" s="570">
        <v>616152</v>
      </c>
      <c r="G109" s="580" t="str">
        <f t="shared" si="8"/>
        <v>Religious Worship</v>
      </c>
      <c r="H109" s="580">
        <f t="shared" si="9"/>
        <v>1714520</v>
      </c>
      <c r="I109" s="580" t="str">
        <f>Seattle!Y27</f>
        <v>Religious worship</v>
      </c>
      <c r="J109" s="580">
        <f t="shared" si="10"/>
        <v>268228</v>
      </c>
      <c r="K109" s="580" t="e">
        <f>#REF!</f>
        <v>#REF!</v>
      </c>
      <c r="L109" s="580">
        <f t="shared" si="11"/>
        <v>10555813</v>
      </c>
      <c r="M109" s="580" t="e">
        <f>#REF!</f>
        <v>#REF!</v>
      </c>
      <c r="N109" s="580">
        <f t="shared" si="12"/>
        <v>616152</v>
      </c>
      <c r="O109" s="580" t="e">
        <f>#REF!</f>
        <v>#REF!</v>
      </c>
      <c r="S109" s="487" t="s">
        <v>425</v>
      </c>
      <c r="T109" s="339"/>
      <c r="U109" s="339"/>
      <c r="V109" s="488"/>
      <c r="W109" s="487">
        <f t="shared" si="13"/>
        <v>384</v>
      </c>
      <c r="X109" s="489">
        <f t="shared" si="14"/>
        <v>11975697</v>
      </c>
    </row>
    <row r="110" spans="1:24" ht="17.25" customHeight="1" thickBot="1" x14ac:dyDescent="0.3">
      <c r="A110" s="568" t="s">
        <v>433</v>
      </c>
      <c r="B110" s="571">
        <v>405042</v>
      </c>
      <c r="C110" s="572">
        <v>4104638</v>
      </c>
      <c r="D110" s="572">
        <v>10152313</v>
      </c>
      <c r="E110" s="572">
        <v>1269985</v>
      </c>
      <c r="G110" s="580" t="str">
        <f t="shared" si="8"/>
        <v>Service</v>
      </c>
      <c r="H110" s="580">
        <f t="shared" si="9"/>
        <v>405042</v>
      </c>
      <c r="I110" s="580" t="str">
        <f>Seattle!Y28</f>
        <v>Service</v>
      </c>
      <c r="J110" s="580">
        <f t="shared" si="10"/>
        <v>4104638</v>
      </c>
      <c r="K110" s="580" t="e">
        <f>#REF!</f>
        <v>#REF!</v>
      </c>
      <c r="L110" s="580">
        <f t="shared" si="11"/>
        <v>10152313</v>
      </c>
      <c r="M110" s="580" t="e">
        <f>#REF!</f>
        <v>#REF!</v>
      </c>
      <c r="N110" s="580">
        <f t="shared" si="12"/>
        <v>1269985</v>
      </c>
      <c r="O110" s="580" t="e">
        <f>#REF!</f>
        <v>#REF!</v>
      </c>
      <c r="S110" s="487" t="s">
        <v>173</v>
      </c>
      <c r="T110" s="339"/>
      <c r="U110" s="339"/>
      <c r="V110" s="488"/>
      <c r="W110" s="487">
        <f t="shared" si="13"/>
        <v>199</v>
      </c>
      <c r="X110" s="489">
        <f t="shared" si="14"/>
        <v>1693569</v>
      </c>
    </row>
    <row r="111" spans="1:24" ht="17.25" customHeight="1" thickBot="1" x14ac:dyDescent="0.3">
      <c r="A111" s="568" t="s">
        <v>489</v>
      </c>
      <c r="B111" s="569">
        <v>13724146</v>
      </c>
      <c r="C111" s="573">
        <v>0</v>
      </c>
      <c r="D111" s="570">
        <v>103653477</v>
      </c>
      <c r="E111" s="570">
        <v>1068166</v>
      </c>
      <c r="G111" s="580" t="str">
        <f t="shared" si="8"/>
        <v>Warehouse and storage</v>
      </c>
      <c r="H111" s="580">
        <f t="shared" si="9"/>
        <v>13724146</v>
      </c>
      <c r="I111" s="580" t="str">
        <f>Seattle!Y29</f>
        <v>Warehouse and storage</v>
      </c>
      <c r="J111" s="580">
        <f t="shared" si="10"/>
        <v>0</v>
      </c>
      <c r="K111" s="580" t="e">
        <f>#REF!</f>
        <v>#REF!</v>
      </c>
      <c r="L111" s="580">
        <f t="shared" si="11"/>
        <v>103653477</v>
      </c>
      <c r="M111" s="580" t="e">
        <f>#REF!</f>
        <v>#REF!</v>
      </c>
      <c r="N111" s="580">
        <f t="shared" si="12"/>
        <v>1068166</v>
      </c>
      <c r="O111" s="580" t="e">
        <f>#REF!</f>
        <v>#REF!</v>
      </c>
      <c r="S111" s="487" t="s">
        <v>427</v>
      </c>
      <c r="T111" s="339"/>
      <c r="U111" s="339"/>
      <c r="V111" s="488"/>
      <c r="W111" s="487">
        <f t="shared" si="13"/>
        <v>28</v>
      </c>
      <c r="X111" s="489">
        <f t="shared" si="14"/>
        <v>405272</v>
      </c>
    </row>
    <row r="112" spans="1:24" ht="17.25" customHeight="1" thickBot="1" x14ac:dyDescent="0.3">
      <c r="A112" s="574" t="s">
        <v>784</v>
      </c>
      <c r="B112" s="575">
        <f>SUM(B97:B111)</f>
        <v>142278189</v>
      </c>
      <c r="C112" s="575">
        <f>SUM(C97:C111)</f>
        <v>185221267</v>
      </c>
      <c r="D112" s="575">
        <f>SUM(D97:D111)</f>
        <v>1668629660</v>
      </c>
      <c r="E112" s="575">
        <f>SUM(E97:E111)</f>
        <v>29729095</v>
      </c>
      <c r="G112" s="581" t="s">
        <v>1509</v>
      </c>
      <c r="H112" s="582">
        <f>B112/1000000</f>
        <v>142.278189</v>
      </c>
      <c r="I112" s="581"/>
      <c r="J112" s="582">
        <f>C112/1000000</f>
        <v>185.22126700000001</v>
      </c>
      <c r="K112" s="581"/>
      <c r="L112" s="582">
        <f>D112/1000000</f>
        <v>1668.6296600000001</v>
      </c>
      <c r="M112" s="581"/>
      <c r="N112" s="582">
        <f>E112/1000000</f>
        <v>29.729095000000001</v>
      </c>
      <c r="O112" s="581"/>
      <c r="S112" s="487" t="s">
        <v>488</v>
      </c>
      <c r="T112" s="339"/>
      <c r="U112" s="339"/>
      <c r="V112" s="488"/>
      <c r="W112" s="487">
        <f t="shared" si="13"/>
        <v>210</v>
      </c>
      <c r="X112" s="489">
        <f t="shared" si="14"/>
        <v>224298</v>
      </c>
    </row>
    <row r="113" spans="19:25" x14ac:dyDescent="0.2">
      <c r="S113" s="487" t="s">
        <v>431</v>
      </c>
      <c r="T113" s="339"/>
      <c r="U113" s="339"/>
      <c r="V113" s="488"/>
      <c r="W113" s="487">
        <f t="shared" si="13"/>
        <v>48</v>
      </c>
      <c r="X113" s="489">
        <f t="shared" si="14"/>
        <v>616152</v>
      </c>
    </row>
    <row r="114" spans="19:25" x14ac:dyDescent="0.2">
      <c r="S114" s="487" t="s">
        <v>433</v>
      </c>
      <c r="T114" s="339"/>
      <c r="U114" s="339"/>
      <c r="V114" s="339"/>
      <c r="W114" s="487">
        <f t="shared" si="13"/>
        <v>190</v>
      </c>
      <c r="X114" s="489">
        <f t="shared" si="14"/>
        <v>1269985</v>
      </c>
    </row>
    <row r="115" spans="19:25" x14ac:dyDescent="0.2">
      <c r="S115" s="487" t="s">
        <v>489</v>
      </c>
      <c r="T115" s="339"/>
      <c r="U115" s="339"/>
      <c r="V115" s="339"/>
      <c r="W115" s="487">
        <f t="shared" si="13"/>
        <v>346</v>
      </c>
      <c r="X115" s="489">
        <f t="shared" si="14"/>
        <v>1068166</v>
      </c>
    </row>
    <row r="118" spans="19:25" x14ac:dyDescent="0.2">
      <c r="S118" s="342" t="s">
        <v>1325</v>
      </c>
      <c r="T118" s="490" t="s">
        <v>760</v>
      </c>
      <c r="U118" s="343" t="s">
        <v>765</v>
      </c>
      <c r="V118" s="343" t="s">
        <v>1326</v>
      </c>
      <c r="W118" s="343" t="s">
        <v>1327</v>
      </c>
      <c r="X118" s="343" t="s">
        <v>1328</v>
      </c>
      <c r="Y118" s="342" t="s">
        <v>1285</v>
      </c>
    </row>
    <row r="119" spans="19:25" x14ac:dyDescent="0.2">
      <c r="T119" s="490"/>
      <c r="U119" s="344" t="s">
        <v>1329</v>
      </c>
      <c r="V119" s="345" t="s">
        <v>1330</v>
      </c>
      <c r="W119" s="491" t="s">
        <v>1330</v>
      </c>
      <c r="X119" s="480">
        <v>690</v>
      </c>
      <c r="Y119" s="342">
        <v>2</v>
      </c>
    </row>
    <row r="120" spans="19:25" x14ac:dyDescent="0.2">
      <c r="S120" s="478" t="s">
        <v>433</v>
      </c>
      <c r="T120" s="490" t="s">
        <v>1280</v>
      </c>
      <c r="U120" s="346" t="s">
        <v>1331</v>
      </c>
      <c r="V120" s="345" t="s">
        <v>1324</v>
      </c>
      <c r="W120" s="491" t="s">
        <v>1332</v>
      </c>
      <c r="X120" s="480">
        <v>1081264</v>
      </c>
      <c r="Y120" s="478">
        <v>148</v>
      </c>
    </row>
    <row r="121" spans="19:25" x14ac:dyDescent="0.2">
      <c r="S121" s="478" t="s">
        <v>425</v>
      </c>
      <c r="T121" s="490" t="s">
        <v>1280</v>
      </c>
      <c r="U121" s="346" t="s">
        <v>1331</v>
      </c>
      <c r="V121" s="345" t="s">
        <v>1324</v>
      </c>
      <c r="W121" s="491" t="s">
        <v>1333</v>
      </c>
      <c r="X121" s="480">
        <v>234847</v>
      </c>
      <c r="Y121" s="478">
        <v>26</v>
      </c>
    </row>
    <row r="122" spans="19:25" x14ac:dyDescent="0.2">
      <c r="S122" s="478" t="s">
        <v>486</v>
      </c>
      <c r="T122" s="490" t="s">
        <v>1280</v>
      </c>
      <c r="U122" s="346" t="s">
        <v>1331</v>
      </c>
      <c r="V122" s="345" t="s">
        <v>1324</v>
      </c>
      <c r="W122" s="491" t="s">
        <v>1324</v>
      </c>
      <c r="X122" s="480">
        <v>57759</v>
      </c>
      <c r="Y122" s="478">
        <v>177</v>
      </c>
    </row>
    <row r="123" spans="19:25" x14ac:dyDescent="0.2">
      <c r="S123" s="478" t="s">
        <v>485</v>
      </c>
      <c r="T123" s="490" t="s">
        <v>1280</v>
      </c>
      <c r="U123" s="346" t="s">
        <v>1331</v>
      </c>
      <c r="V123" s="345" t="s">
        <v>1324</v>
      </c>
      <c r="W123" s="491" t="s">
        <v>1334</v>
      </c>
      <c r="X123" s="480">
        <v>295975</v>
      </c>
      <c r="Y123" s="478">
        <v>3</v>
      </c>
    </row>
    <row r="124" spans="19:25" x14ac:dyDescent="0.2">
      <c r="S124" s="478" t="s">
        <v>416</v>
      </c>
      <c r="T124" s="490" t="s">
        <v>529</v>
      </c>
      <c r="U124" s="346" t="s">
        <v>1331</v>
      </c>
      <c r="V124" s="345" t="s">
        <v>1324</v>
      </c>
      <c r="W124" s="491" t="s">
        <v>1335</v>
      </c>
      <c r="X124" s="480">
        <v>2102017</v>
      </c>
      <c r="Y124" s="478">
        <v>59</v>
      </c>
    </row>
    <row r="125" spans="19:25" x14ac:dyDescent="0.2">
      <c r="S125" s="478" t="s">
        <v>433</v>
      </c>
      <c r="T125" s="490" t="s">
        <v>1280</v>
      </c>
      <c r="U125" s="346" t="s">
        <v>1331</v>
      </c>
      <c r="V125" s="345" t="s">
        <v>1324</v>
      </c>
      <c r="W125" s="491" t="s">
        <v>1336</v>
      </c>
      <c r="X125" s="480">
        <v>61532</v>
      </c>
      <c r="Y125" s="478">
        <v>13</v>
      </c>
    </row>
    <row r="126" spans="19:25" x14ac:dyDescent="0.2">
      <c r="S126" s="478" t="s">
        <v>486</v>
      </c>
      <c r="T126" s="490" t="s">
        <v>1280</v>
      </c>
      <c r="U126" s="346" t="s">
        <v>1331</v>
      </c>
      <c r="V126" s="345" t="s">
        <v>1324</v>
      </c>
      <c r="W126" s="491" t="s">
        <v>1337</v>
      </c>
      <c r="X126" s="480">
        <v>11496</v>
      </c>
      <c r="Y126" s="478">
        <v>3</v>
      </c>
    </row>
    <row r="127" spans="19:25" x14ac:dyDescent="0.2">
      <c r="S127" s="478" t="s">
        <v>425</v>
      </c>
      <c r="T127" s="492" t="s">
        <v>425</v>
      </c>
      <c r="U127" s="346" t="s">
        <v>1331</v>
      </c>
      <c r="V127" s="345" t="s">
        <v>1324</v>
      </c>
      <c r="W127" s="491" t="s">
        <v>1338</v>
      </c>
      <c r="X127" s="480">
        <v>10524331</v>
      </c>
      <c r="Y127" s="478">
        <v>299</v>
      </c>
    </row>
    <row r="128" spans="19:25" x14ac:dyDescent="0.2">
      <c r="S128" s="478" t="s">
        <v>489</v>
      </c>
      <c r="T128" s="490" t="s">
        <v>1280</v>
      </c>
      <c r="U128" s="346" t="s">
        <v>1331</v>
      </c>
      <c r="V128" s="345" t="s">
        <v>1324</v>
      </c>
      <c r="W128" s="491" t="s">
        <v>1339</v>
      </c>
      <c r="X128" s="480">
        <v>79303</v>
      </c>
      <c r="Y128" s="478">
        <v>263</v>
      </c>
    </row>
    <row r="129" spans="19:25" x14ac:dyDescent="0.2">
      <c r="S129" s="478" t="s">
        <v>425</v>
      </c>
      <c r="T129" s="492" t="s">
        <v>425</v>
      </c>
      <c r="U129" s="346" t="s">
        <v>1331</v>
      </c>
      <c r="V129" s="345" t="s">
        <v>1324</v>
      </c>
      <c r="W129" s="491" t="s">
        <v>1340</v>
      </c>
      <c r="X129" s="480">
        <v>1216519</v>
      </c>
      <c r="Y129" s="478">
        <v>59</v>
      </c>
    </row>
    <row r="130" spans="19:25" x14ac:dyDescent="0.2">
      <c r="S130" s="478" t="s">
        <v>653</v>
      </c>
      <c r="T130" s="490" t="s">
        <v>1280</v>
      </c>
      <c r="U130" s="346" t="s">
        <v>1331</v>
      </c>
      <c r="V130" s="345" t="s">
        <v>1324</v>
      </c>
      <c r="W130" s="491" t="s">
        <v>1341</v>
      </c>
      <c r="X130" s="480">
        <v>357213</v>
      </c>
      <c r="Y130" s="478">
        <v>91</v>
      </c>
    </row>
    <row r="131" spans="19:25" x14ac:dyDescent="0.2">
      <c r="S131" s="478" t="s">
        <v>433</v>
      </c>
      <c r="T131" s="490" t="s">
        <v>1280</v>
      </c>
      <c r="U131" s="346" t="s">
        <v>1331</v>
      </c>
      <c r="V131" s="345" t="s">
        <v>1324</v>
      </c>
      <c r="W131" s="491" t="s">
        <v>1342</v>
      </c>
      <c r="X131" s="480">
        <v>25952</v>
      </c>
      <c r="Y131" s="478">
        <v>18</v>
      </c>
    </row>
    <row r="132" spans="19:25" x14ac:dyDescent="0.2">
      <c r="S132" s="478" t="s">
        <v>485</v>
      </c>
      <c r="T132" s="490" t="s">
        <v>1280</v>
      </c>
      <c r="U132" s="346" t="s">
        <v>1331</v>
      </c>
      <c r="V132" s="345" t="s">
        <v>1324</v>
      </c>
      <c r="W132" s="491" t="s">
        <v>1343</v>
      </c>
      <c r="X132" s="480">
        <v>168760</v>
      </c>
      <c r="Y132" s="478">
        <v>13</v>
      </c>
    </row>
    <row r="133" spans="19:25" x14ac:dyDescent="0.2">
      <c r="S133" s="478" t="s">
        <v>485</v>
      </c>
      <c r="T133" s="490" t="s">
        <v>1280</v>
      </c>
      <c r="U133" s="346" t="s">
        <v>1331</v>
      </c>
      <c r="V133" s="345" t="s">
        <v>1324</v>
      </c>
      <c r="W133" s="491" t="s">
        <v>1344</v>
      </c>
      <c r="X133" s="480">
        <v>593376</v>
      </c>
      <c r="Y133" s="478">
        <v>2</v>
      </c>
    </row>
    <row r="134" spans="19:25" x14ac:dyDescent="0.2">
      <c r="S134" s="478" t="s">
        <v>486</v>
      </c>
      <c r="T134" s="490" t="s">
        <v>1280</v>
      </c>
      <c r="U134" s="346" t="s">
        <v>1331</v>
      </c>
      <c r="V134" s="345" t="s">
        <v>1324</v>
      </c>
      <c r="W134" s="491" t="s">
        <v>1345</v>
      </c>
      <c r="X134" s="480">
        <v>2067217</v>
      </c>
      <c r="Y134" s="478">
        <v>334</v>
      </c>
    </row>
    <row r="135" spans="19:25" x14ac:dyDescent="0.2">
      <c r="S135" s="478" t="s">
        <v>486</v>
      </c>
      <c r="T135" s="490" t="s">
        <v>1280</v>
      </c>
      <c r="U135" s="346" t="s">
        <v>1331</v>
      </c>
      <c r="V135" s="345" t="s">
        <v>1324</v>
      </c>
      <c r="W135" s="491" t="s">
        <v>1346</v>
      </c>
      <c r="X135" s="480">
        <v>4181073</v>
      </c>
      <c r="Y135" s="478">
        <v>278</v>
      </c>
    </row>
    <row r="136" spans="19:25" x14ac:dyDescent="0.2">
      <c r="S136" s="478" t="s">
        <v>652</v>
      </c>
      <c r="T136" s="490" t="s">
        <v>1280</v>
      </c>
      <c r="U136" s="346" t="s">
        <v>1331</v>
      </c>
      <c r="V136" s="345" t="s">
        <v>1324</v>
      </c>
      <c r="W136" s="491" t="s">
        <v>1347</v>
      </c>
      <c r="X136" s="480">
        <v>291179</v>
      </c>
      <c r="Y136" s="478">
        <v>14</v>
      </c>
    </row>
    <row r="137" spans="19:25" x14ac:dyDescent="0.2">
      <c r="S137" s="478" t="s">
        <v>652</v>
      </c>
      <c r="T137" s="490" t="s">
        <v>1280</v>
      </c>
      <c r="U137" s="346" t="s">
        <v>1331</v>
      </c>
      <c r="V137" s="345" t="s">
        <v>1324</v>
      </c>
      <c r="W137" s="491" t="s">
        <v>1348</v>
      </c>
      <c r="X137" s="480">
        <v>18555</v>
      </c>
      <c r="Y137" s="478">
        <v>3</v>
      </c>
    </row>
    <row r="138" spans="19:25" x14ac:dyDescent="0.2">
      <c r="S138" s="478" t="s">
        <v>433</v>
      </c>
      <c r="T138" s="492" t="s">
        <v>1281</v>
      </c>
      <c r="U138" s="346" t="s">
        <v>1331</v>
      </c>
      <c r="V138" s="345" t="s">
        <v>1281</v>
      </c>
      <c r="W138" s="491" t="s">
        <v>1349</v>
      </c>
      <c r="X138" s="480">
        <v>22092</v>
      </c>
      <c r="Y138" s="478">
        <v>2</v>
      </c>
    </row>
    <row r="139" spans="19:25" x14ac:dyDescent="0.2">
      <c r="S139" s="478" t="s">
        <v>173</v>
      </c>
      <c r="T139" s="492" t="s">
        <v>1281</v>
      </c>
      <c r="U139" s="346" t="s">
        <v>1331</v>
      </c>
      <c r="V139" s="345" t="s">
        <v>1281</v>
      </c>
      <c r="W139" s="491" t="s">
        <v>1350</v>
      </c>
      <c r="X139" s="480">
        <v>78251</v>
      </c>
      <c r="Y139" s="478">
        <v>3</v>
      </c>
    </row>
    <row r="140" spans="19:25" x14ac:dyDescent="0.2">
      <c r="S140" s="478" t="s">
        <v>173</v>
      </c>
      <c r="T140" s="492" t="s">
        <v>1281</v>
      </c>
      <c r="U140" s="346" t="s">
        <v>1331</v>
      </c>
      <c r="V140" s="345" t="s">
        <v>1281</v>
      </c>
      <c r="W140" s="491" t="s">
        <v>1281</v>
      </c>
      <c r="X140" s="480">
        <v>15108</v>
      </c>
      <c r="Y140" s="478">
        <v>3</v>
      </c>
    </row>
    <row r="141" spans="19:25" x14ac:dyDescent="0.2">
      <c r="S141" s="478" t="s">
        <v>173</v>
      </c>
      <c r="T141" s="492" t="s">
        <v>1281</v>
      </c>
      <c r="U141" s="346" t="s">
        <v>1331</v>
      </c>
      <c r="V141" s="345" t="s">
        <v>1281</v>
      </c>
      <c r="W141" s="491" t="s">
        <v>1351</v>
      </c>
      <c r="X141" s="480">
        <v>1465224</v>
      </c>
      <c r="Y141" s="478">
        <v>154</v>
      </c>
    </row>
    <row r="142" spans="19:25" x14ac:dyDescent="0.2">
      <c r="S142" s="478" t="s">
        <v>489</v>
      </c>
      <c r="T142" s="492" t="s">
        <v>1281</v>
      </c>
      <c r="U142" s="346" t="s">
        <v>1331</v>
      </c>
      <c r="V142" s="345" t="s">
        <v>1281</v>
      </c>
      <c r="W142" s="491" t="s">
        <v>1352</v>
      </c>
      <c r="X142" s="480">
        <v>9000</v>
      </c>
      <c r="Y142" s="478">
        <v>1</v>
      </c>
    </row>
    <row r="143" spans="19:25" x14ac:dyDescent="0.2">
      <c r="S143" s="478" t="s">
        <v>433</v>
      </c>
      <c r="T143" s="492" t="s">
        <v>1281</v>
      </c>
      <c r="U143" s="346" t="s">
        <v>1331</v>
      </c>
      <c r="V143" s="345" t="s">
        <v>1281</v>
      </c>
      <c r="W143" s="491" t="s">
        <v>1353</v>
      </c>
      <c r="X143" s="480">
        <v>79145</v>
      </c>
      <c r="Y143" s="478">
        <v>9</v>
      </c>
    </row>
    <row r="144" spans="19:25" x14ac:dyDescent="0.2">
      <c r="S144" s="478" t="s">
        <v>489</v>
      </c>
      <c r="T144" s="492" t="s">
        <v>1281</v>
      </c>
      <c r="U144" s="346" t="s">
        <v>1331</v>
      </c>
      <c r="V144" s="345" t="s">
        <v>1281</v>
      </c>
      <c r="W144" s="491" t="s">
        <v>1354</v>
      </c>
      <c r="X144" s="480">
        <v>6000</v>
      </c>
      <c r="Y144" s="478">
        <v>1</v>
      </c>
    </row>
    <row r="145" spans="19:25" x14ac:dyDescent="0.2">
      <c r="S145" s="478" t="s">
        <v>489</v>
      </c>
      <c r="T145" s="492" t="s">
        <v>1281</v>
      </c>
      <c r="U145" s="346" t="s">
        <v>1331</v>
      </c>
      <c r="V145" s="345" t="s">
        <v>1281</v>
      </c>
      <c r="W145" s="491" t="s">
        <v>1355</v>
      </c>
      <c r="X145" s="480">
        <v>89747</v>
      </c>
      <c r="Y145" s="478">
        <v>13</v>
      </c>
    </row>
    <row r="146" spans="19:25" x14ac:dyDescent="0.2">
      <c r="S146" s="478" t="s">
        <v>489</v>
      </c>
      <c r="T146" s="492" t="s">
        <v>1281</v>
      </c>
      <c r="U146" s="346" t="s">
        <v>1331</v>
      </c>
      <c r="V146" s="345" t="s">
        <v>1281</v>
      </c>
      <c r="W146" s="491" t="s">
        <v>1356</v>
      </c>
      <c r="X146" s="480">
        <v>884116</v>
      </c>
      <c r="Y146" s="478">
        <v>68</v>
      </c>
    </row>
    <row r="147" spans="19:25" x14ac:dyDescent="0.2">
      <c r="S147" s="478" t="s">
        <v>656</v>
      </c>
      <c r="T147" s="490" t="s">
        <v>1280</v>
      </c>
      <c r="U147" s="346" t="s">
        <v>1331</v>
      </c>
      <c r="V147" s="345" t="s">
        <v>1357</v>
      </c>
      <c r="W147" s="491" t="s">
        <v>1358</v>
      </c>
      <c r="X147" s="480">
        <v>57052</v>
      </c>
      <c r="Y147" s="478">
        <v>6</v>
      </c>
    </row>
    <row r="148" spans="19:25" x14ac:dyDescent="0.2">
      <c r="S148" s="478" t="s">
        <v>656</v>
      </c>
      <c r="T148" s="490" t="s">
        <v>1280</v>
      </c>
      <c r="U148" s="346" t="s">
        <v>1331</v>
      </c>
      <c r="V148" s="345" t="s">
        <v>1357</v>
      </c>
      <c r="W148" s="491" t="s">
        <v>863</v>
      </c>
      <c r="X148" s="480">
        <v>24014</v>
      </c>
      <c r="Y148" s="478">
        <v>1</v>
      </c>
    </row>
    <row r="149" spans="19:25" x14ac:dyDescent="0.2">
      <c r="S149" s="478" t="s">
        <v>656</v>
      </c>
      <c r="T149" s="490" t="s">
        <v>1280</v>
      </c>
      <c r="U149" s="346" t="s">
        <v>1331</v>
      </c>
      <c r="V149" s="345" t="s">
        <v>1357</v>
      </c>
      <c r="W149" s="491" t="s">
        <v>1359</v>
      </c>
      <c r="X149" s="480">
        <v>195348</v>
      </c>
      <c r="Y149" s="478">
        <v>15</v>
      </c>
    </row>
    <row r="150" spans="19:25" x14ac:dyDescent="0.2">
      <c r="S150" s="478" t="s">
        <v>656</v>
      </c>
      <c r="T150" s="490" t="s">
        <v>1280</v>
      </c>
      <c r="U150" s="346" t="s">
        <v>1331</v>
      </c>
      <c r="V150" s="345" t="s">
        <v>1357</v>
      </c>
      <c r="W150" s="491" t="s">
        <v>1360</v>
      </c>
      <c r="X150" s="480">
        <v>0</v>
      </c>
      <c r="Y150" s="478">
        <v>1</v>
      </c>
    </row>
    <row r="151" spans="19:25" x14ac:dyDescent="0.2">
      <c r="S151" s="478" t="s">
        <v>656</v>
      </c>
      <c r="T151" s="490" t="s">
        <v>1280</v>
      </c>
      <c r="U151" s="344" t="s">
        <v>1331</v>
      </c>
      <c r="V151" s="345" t="s">
        <v>1357</v>
      </c>
      <c r="W151" s="491" t="s">
        <v>1361</v>
      </c>
      <c r="X151" s="480">
        <v>128858</v>
      </c>
      <c r="Y151" s="478">
        <v>5</v>
      </c>
    </row>
    <row r="152" spans="19:25" x14ac:dyDescent="0.2">
      <c r="T152" s="490" t="s">
        <v>1362</v>
      </c>
      <c r="U152" s="344" t="s">
        <v>1363</v>
      </c>
      <c r="V152" s="345" t="s">
        <v>1318</v>
      </c>
      <c r="W152" s="491" t="s">
        <v>1364</v>
      </c>
      <c r="X152" s="480">
        <v>11662518</v>
      </c>
      <c r="Y152" s="478">
        <v>9147</v>
      </c>
    </row>
    <row r="153" spans="19:25" x14ac:dyDescent="0.2">
      <c r="T153" s="490" t="s">
        <v>1280</v>
      </c>
      <c r="U153" s="346" t="s">
        <v>1365</v>
      </c>
      <c r="V153" s="345" t="s">
        <v>1366</v>
      </c>
      <c r="W153" s="491" t="s">
        <v>1329</v>
      </c>
      <c r="X153" s="480">
        <v>20276</v>
      </c>
      <c r="Y153" s="478">
        <v>1</v>
      </c>
    </row>
    <row r="154" spans="19:25" x14ac:dyDescent="0.2">
      <c r="S154" s="478" t="s">
        <v>173</v>
      </c>
      <c r="T154" s="490" t="s">
        <v>1280</v>
      </c>
      <c r="U154" s="346" t="s">
        <v>1365</v>
      </c>
      <c r="V154" s="345" t="s">
        <v>1367</v>
      </c>
      <c r="W154" s="491" t="s">
        <v>1368</v>
      </c>
      <c r="X154" s="480">
        <v>9278</v>
      </c>
      <c r="Y154" s="478">
        <v>3</v>
      </c>
    </row>
    <row r="155" spans="19:25" x14ac:dyDescent="0.2">
      <c r="S155" s="478" t="s">
        <v>111</v>
      </c>
      <c r="T155" s="490" t="s">
        <v>1280</v>
      </c>
      <c r="U155" s="346" t="s">
        <v>1365</v>
      </c>
      <c r="V155" s="345" t="s">
        <v>1367</v>
      </c>
      <c r="W155" s="491" t="s">
        <v>1369</v>
      </c>
      <c r="X155" s="480">
        <v>18888</v>
      </c>
      <c r="Y155" s="478">
        <v>4</v>
      </c>
    </row>
    <row r="156" spans="19:25" x14ac:dyDescent="0.2">
      <c r="S156" s="478" t="s">
        <v>657</v>
      </c>
      <c r="T156" s="490" t="s">
        <v>1280</v>
      </c>
      <c r="U156" s="346" t="s">
        <v>1365</v>
      </c>
      <c r="V156" s="345" t="s">
        <v>1367</v>
      </c>
      <c r="W156" s="491" t="s">
        <v>1370</v>
      </c>
      <c r="X156" s="480">
        <v>616152</v>
      </c>
      <c r="Y156" s="478">
        <v>48</v>
      </c>
    </row>
    <row r="157" spans="19:25" x14ac:dyDescent="0.2">
      <c r="S157" s="478" t="s">
        <v>111</v>
      </c>
      <c r="T157" s="490" t="s">
        <v>1280</v>
      </c>
      <c r="U157" s="346" t="s">
        <v>1365</v>
      </c>
      <c r="V157" s="345" t="s">
        <v>1367</v>
      </c>
      <c r="W157" s="491" t="s">
        <v>1371</v>
      </c>
      <c r="X157" s="480">
        <v>3451</v>
      </c>
      <c r="Y157" s="478">
        <v>1</v>
      </c>
    </row>
    <row r="158" spans="19:25" x14ac:dyDescent="0.2">
      <c r="S158" s="478" t="s">
        <v>416</v>
      </c>
      <c r="T158" s="490" t="s">
        <v>1280</v>
      </c>
      <c r="U158" s="346" t="s">
        <v>1365</v>
      </c>
      <c r="V158" s="345" t="s">
        <v>1367</v>
      </c>
      <c r="W158" s="491" t="s">
        <v>1372</v>
      </c>
      <c r="X158" s="480">
        <v>561037</v>
      </c>
      <c r="Y158" s="478">
        <v>27</v>
      </c>
    </row>
    <row r="159" spans="19:25" x14ac:dyDescent="0.2">
      <c r="S159" s="478" t="s">
        <v>483</v>
      </c>
      <c r="T159" s="490" t="s">
        <v>1280</v>
      </c>
      <c r="U159" s="346" t="s">
        <v>1365</v>
      </c>
      <c r="V159" s="345" t="s">
        <v>1367</v>
      </c>
      <c r="W159" s="491" t="s">
        <v>540</v>
      </c>
      <c r="X159" s="480">
        <v>1145724</v>
      </c>
      <c r="Y159" s="478">
        <v>15</v>
      </c>
    </row>
    <row r="160" spans="19:25" x14ac:dyDescent="0.2">
      <c r="S160" s="478" t="s">
        <v>111</v>
      </c>
      <c r="T160" s="490" t="s">
        <v>1282</v>
      </c>
      <c r="U160" s="346" t="s">
        <v>1365</v>
      </c>
      <c r="V160" s="345" t="s">
        <v>1367</v>
      </c>
      <c r="W160" s="491" t="s">
        <v>1373</v>
      </c>
      <c r="X160" s="480">
        <v>549501</v>
      </c>
      <c r="Y160" s="478">
        <v>39</v>
      </c>
    </row>
    <row r="161" spans="19:25" x14ac:dyDescent="0.2">
      <c r="S161" s="478" t="s">
        <v>488</v>
      </c>
      <c r="T161" s="490" t="s">
        <v>1280</v>
      </c>
      <c r="U161" s="346" t="s">
        <v>1365</v>
      </c>
      <c r="V161" s="345" t="s">
        <v>1374</v>
      </c>
      <c r="W161" s="491" t="s">
        <v>1375</v>
      </c>
      <c r="X161" s="480">
        <v>224298</v>
      </c>
      <c r="Y161" s="478">
        <v>210</v>
      </c>
    </row>
    <row r="162" spans="19:25" x14ac:dyDescent="0.2">
      <c r="S162" s="478" t="s">
        <v>173</v>
      </c>
      <c r="T162" s="490" t="s">
        <v>1280</v>
      </c>
      <c r="U162" s="346" t="s">
        <v>1365</v>
      </c>
      <c r="V162" s="345" t="s">
        <v>1374</v>
      </c>
      <c r="W162" s="491" t="s">
        <v>1376</v>
      </c>
      <c r="X162" s="480">
        <v>27355</v>
      </c>
      <c r="Y162" s="478">
        <v>1</v>
      </c>
    </row>
    <row r="163" spans="19:25" x14ac:dyDescent="0.2">
      <c r="S163" s="478" t="s">
        <v>173</v>
      </c>
      <c r="T163" s="490" t="s">
        <v>1280</v>
      </c>
      <c r="U163" s="346" t="s">
        <v>1365</v>
      </c>
      <c r="V163" s="345" t="s">
        <v>1374</v>
      </c>
      <c r="W163" s="491" t="s">
        <v>974</v>
      </c>
      <c r="X163" s="480">
        <v>98353</v>
      </c>
      <c r="Y163" s="478">
        <v>35</v>
      </c>
    </row>
    <row r="164" spans="19:25" ht="25.5" x14ac:dyDescent="0.2">
      <c r="S164" s="478" t="s">
        <v>416</v>
      </c>
      <c r="T164" s="492" t="s">
        <v>1362</v>
      </c>
      <c r="U164" s="344" t="s">
        <v>1365</v>
      </c>
      <c r="V164" s="345" t="s">
        <v>1318</v>
      </c>
      <c r="W164" s="491" t="s">
        <v>1377</v>
      </c>
      <c r="X164" s="480">
        <v>52735</v>
      </c>
      <c r="Y164" s="478">
        <v>6</v>
      </c>
    </row>
    <row r="165" spans="19:25" ht="25.5" x14ac:dyDescent="0.2">
      <c r="T165" s="492" t="s">
        <v>1362</v>
      </c>
      <c r="U165" s="346" t="s">
        <v>1378</v>
      </c>
      <c r="V165" s="345" t="s">
        <v>1318</v>
      </c>
      <c r="W165" s="491" t="s">
        <v>1379</v>
      </c>
      <c r="X165" s="480">
        <v>1125445</v>
      </c>
      <c r="Y165" s="478">
        <v>562</v>
      </c>
    </row>
    <row r="166" spans="19:25" x14ac:dyDescent="0.2">
      <c r="T166" s="492" t="s">
        <v>487</v>
      </c>
      <c r="U166" s="346" t="s">
        <v>1378</v>
      </c>
      <c r="V166" s="345" t="s">
        <v>1318</v>
      </c>
      <c r="W166" s="491" t="s">
        <v>1380</v>
      </c>
      <c r="X166" s="480">
        <v>23361201</v>
      </c>
      <c r="Y166" s="478">
        <v>2360</v>
      </c>
    </row>
    <row r="167" spans="19:25" ht="25.5" x14ac:dyDescent="0.2">
      <c r="T167" s="492" t="s">
        <v>1362</v>
      </c>
      <c r="U167" s="346" t="s">
        <v>1378</v>
      </c>
      <c r="V167" s="345" t="s">
        <v>1318</v>
      </c>
      <c r="W167" s="491" t="s">
        <v>1381</v>
      </c>
      <c r="X167" s="480">
        <v>2097176</v>
      </c>
      <c r="Y167" s="478">
        <v>654</v>
      </c>
    </row>
    <row r="168" spans="19:25" ht="25.5" x14ac:dyDescent="0.2">
      <c r="T168" s="492" t="s">
        <v>1362</v>
      </c>
      <c r="U168" s="346" t="s">
        <v>1378</v>
      </c>
      <c r="V168" s="345" t="s">
        <v>1318</v>
      </c>
      <c r="W168" s="491" t="s">
        <v>1382</v>
      </c>
      <c r="X168" s="480">
        <v>8920</v>
      </c>
      <c r="Y168" s="478">
        <v>4</v>
      </c>
    </row>
    <row r="169" spans="19:25" ht="25.5" x14ac:dyDescent="0.2">
      <c r="T169" s="492" t="s">
        <v>1362</v>
      </c>
      <c r="U169" s="344" t="s">
        <v>1378</v>
      </c>
      <c r="V169" s="345" t="s">
        <v>1318</v>
      </c>
      <c r="W169" s="491" t="s">
        <v>1383</v>
      </c>
      <c r="X169" s="480">
        <v>1225745</v>
      </c>
      <c r="Y169" s="478">
        <v>492</v>
      </c>
    </row>
    <row r="170" spans="19:25" ht="25.5" x14ac:dyDescent="0.2">
      <c r="T170" s="492" t="s">
        <v>1362</v>
      </c>
      <c r="U170" s="346" t="s">
        <v>1384</v>
      </c>
      <c r="V170" s="345" t="s">
        <v>1318</v>
      </c>
      <c r="W170" s="491" t="s">
        <v>1385</v>
      </c>
      <c r="X170" s="480">
        <v>1845</v>
      </c>
      <c r="Y170" s="478">
        <v>1</v>
      </c>
    </row>
    <row r="171" spans="19:25" ht="25.5" x14ac:dyDescent="0.2">
      <c r="T171" s="492" t="s">
        <v>1362</v>
      </c>
      <c r="U171" s="344" t="s">
        <v>1384</v>
      </c>
      <c r="V171" s="345" t="s">
        <v>1318</v>
      </c>
      <c r="W171" s="491" t="s">
        <v>1364</v>
      </c>
      <c r="X171" s="480">
        <v>17895733</v>
      </c>
      <c r="Y171" s="478">
        <v>7413</v>
      </c>
    </row>
    <row r="172" spans="19:25" x14ac:dyDescent="0.2">
      <c r="S172" s="478" t="s">
        <v>438</v>
      </c>
      <c r="T172" s="490" t="s">
        <v>1280</v>
      </c>
      <c r="U172" s="346" t="s">
        <v>1386</v>
      </c>
      <c r="V172" s="345" t="s">
        <v>1324</v>
      </c>
      <c r="W172" s="491" t="s">
        <v>1329</v>
      </c>
      <c r="X172" s="480">
        <v>0</v>
      </c>
      <c r="Y172" s="478">
        <v>1</v>
      </c>
    </row>
    <row r="173" spans="19:25" x14ac:dyDescent="0.2">
      <c r="S173" s="478" t="s">
        <v>438</v>
      </c>
      <c r="T173" s="490" t="s">
        <v>1280</v>
      </c>
      <c r="U173" s="346" t="s">
        <v>1386</v>
      </c>
      <c r="V173" s="345" t="s">
        <v>1324</v>
      </c>
      <c r="W173" s="491" t="s">
        <v>1332</v>
      </c>
      <c r="X173" s="480">
        <v>0</v>
      </c>
      <c r="Y173" s="478">
        <v>2</v>
      </c>
    </row>
    <row r="174" spans="19:25" x14ac:dyDescent="0.2">
      <c r="S174" s="478" t="s">
        <v>438</v>
      </c>
      <c r="T174" s="490" t="s">
        <v>425</v>
      </c>
      <c r="U174" s="346" t="s">
        <v>1386</v>
      </c>
      <c r="V174" s="345" t="s">
        <v>1324</v>
      </c>
      <c r="W174" s="491" t="s">
        <v>1324</v>
      </c>
      <c r="X174" s="480">
        <v>47142</v>
      </c>
      <c r="Y174" s="478">
        <v>74</v>
      </c>
    </row>
    <row r="175" spans="19:25" x14ac:dyDescent="0.2">
      <c r="S175" s="478" t="s">
        <v>438</v>
      </c>
      <c r="T175" s="490" t="s">
        <v>1280</v>
      </c>
      <c r="U175" s="346" t="s">
        <v>1386</v>
      </c>
      <c r="V175" s="345" t="s">
        <v>1324</v>
      </c>
      <c r="W175" s="491" t="s">
        <v>1334</v>
      </c>
      <c r="X175" s="480">
        <v>0</v>
      </c>
      <c r="Y175" s="478">
        <v>2</v>
      </c>
    </row>
    <row r="176" spans="19:25" x14ac:dyDescent="0.2">
      <c r="S176" s="478" t="s">
        <v>438</v>
      </c>
      <c r="T176" s="490" t="s">
        <v>425</v>
      </c>
      <c r="U176" s="346" t="s">
        <v>1386</v>
      </c>
      <c r="V176" s="345" t="s">
        <v>1324</v>
      </c>
      <c r="W176" s="491" t="s">
        <v>1338</v>
      </c>
      <c r="X176" s="480">
        <v>0</v>
      </c>
      <c r="Y176" s="478">
        <v>1</v>
      </c>
    </row>
    <row r="177" spans="19:25" x14ac:dyDescent="0.2">
      <c r="S177" s="478" t="s">
        <v>438</v>
      </c>
      <c r="T177" s="490" t="s">
        <v>1280</v>
      </c>
      <c r="U177" s="346" t="s">
        <v>1386</v>
      </c>
      <c r="V177" s="345" t="s">
        <v>1324</v>
      </c>
      <c r="W177" s="491" t="s">
        <v>1339</v>
      </c>
      <c r="X177" s="480">
        <v>0</v>
      </c>
      <c r="Y177" s="478">
        <v>6</v>
      </c>
    </row>
    <row r="178" spans="19:25" x14ac:dyDescent="0.2">
      <c r="S178" s="478" t="s">
        <v>438</v>
      </c>
      <c r="T178" s="490" t="s">
        <v>1280</v>
      </c>
      <c r="U178" s="346" t="s">
        <v>1386</v>
      </c>
      <c r="V178" s="345" t="s">
        <v>1324</v>
      </c>
      <c r="W178" s="491" t="s">
        <v>1342</v>
      </c>
      <c r="X178" s="480">
        <v>0</v>
      </c>
      <c r="Y178" s="478">
        <v>1</v>
      </c>
    </row>
    <row r="179" spans="19:25" x14ac:dyDescent="0.2">
      <c r="S179" s="478" t="s">
        <v>438</v>
      </c>
      <c r="T179" s="490" t="s">
        <v>1280</v>
      </c>
      <c r="U179" s="346" t="s">
        <v>1386</v>
      </c>
      <c r="V179" s="345" t="s">
        <v>1324</v>
      </c>
      <c r="W179" s="491" t="s">
        <v>1345</v>
      </c>
      <c r="X179" s="480">
        <v>0</v>
      </c>
      <c r="Y179" s="478">
        <v>1</v>
      </c>
    </row>
    <row r="180" spans="19:25" x14ac:dyDescent="0.2">
      <c r="S180" s="478" t="s">
        <v>438</v>
      </c>
      <c r="T180" s="490" t="s">
        <v>1281</v>
      </c>
      <c r="U180" s="346" t="s">
        <v>1386</v>
      </c>
      <c r="V180" s="345" t="s">
        <v>1281</v>
      </c>
      <c r="W180" s="491" t="s">
        <v>1281</v>
      </c>
      <c r="X180" s="480">
        <v>0</v>
      </c>
      <c r="Y180" s="478">
        <v>26</v>
      </c>
    </row>
    <row r="181" spans="19:25" x14ac:dyDescent="0.2">
      <c r="S181" s="478" t="s">
        <v>438</v>
      </c>
      <c r="T181" s="490" t="s">
        <v>1280</v>
      </c>
      <c r="U181" s="346" t="s">
        <v>1386</v>
      </c>
      <c r="V181" s="345" t="s">
        <v>1367</v>
      </c>
      <c r="W181" s="491" t="s">
        <v>1370</v>
      </c>
      <c r="X181" s="480">
        <v>0</v>
      </c>
      <c r="Y181" s="478">
        <v>1</v>
      </c>
    </row>
    <row r="182" spans="19:25" x14ac:dyDescent="0.2">
      <c r="S182" s="478" t="s">
        <v>438</v>
      </c>
      <c r="T182" s="490" t="s">
        <v>1280</v>
      </c>
      <c r="U182" s="346" t="s">
        <v>1386</v>
      </c>
      <c r="V182" s="345" t="s">
        <v>1374</v>
      </c>
      <c r="W182" s="491" t="s">
        <v>1375</v>
      </c>
      <c r="X182" s="480">
        <v>0</v>
      </c>
      <c r="Y182" s="478">
        <v>5</v>
      </c>
    </row>
    <row r="183" spans="19:25" x14ac:dyDescent="0.2">
      <c r="S183" s="478" t="s">
        <v>438</v>
      </c>
      <c r="T183" s="490" t="s">
        <v>1280</v>
      </c>
      <c r="U183" s="346" t="s">
        <v>1386</v>
      </c>
      <c r="V183" s="345" t="s">
        <v>1374</v>
      </c>
      <c r="W183" s="491" t="s">
        <v>1387</v>
      </c>
      <c r="X183" s="480">
        <v>0</v>
      </c>
      <c r="Y183" s="478">
        <v>1</v>
      </c>
    </row>
    <row r="184" spans="19:25" x14ac:dyDescent="0.2">
      <c r="S184" s="478" t="s">
        <v>438</v>
      </c>
      <c r="T184" s="490" t="s">
        <v>1280</v>
      </c>
      <c r="U184" s="346" t="s">
        <v>1386</v>
      </c>
      <c r="V184" s="345" t="s">
        <v>1357</v>
      </c>
      <c r="W184" s="491" t="s">
        <v>1360</v>
      </c>
      <c r="X184" s="480">
        <v>0</v>
      </c>
      <c r="Y184" s="478">
        <v>3</v>
      </c>
    </row>
    <row r="185" spans="19:25" x14ac:dyDescent="0.2">
      <c r="S185" s="478" t="s">
        <v>438</v>
      </c>
      <c r="T185" s="490" t="s">
        <v>1362</v>
      </c>
      <c r="U185" s="346" t="s">
        <v>1386</v>
      </c>
      <c r="V185" s="345" t="s">
        <v>1318</v>
      </c>
      <c r="W185" s="491" t="s">
        <v>1379</v>
      </c>
      <c r="X185" s="480">
        <v>0</v>
      </c>
      <c r="Y185" s="478">
        <v>1</v>
      </c>
    </row>
    <row r="186" spans="19:25" x14ac:dyDescent="0.2">
      <c r="S186" s="478" t="s">
        <v>438</v>
      </c>
      <c r="T186" s="490" t="s">
        <v>487</v>
      </c>
      <c r="U186" s="346" t="s">
        <v>1386</v>
      </c>
      <c r="V186" s="345" t="s">
        <v>1318</v>
      </c>
      <c r="W186" s="491" t="s">
        <v>1380</v>
      </c>
      <c r="X186" s="480">
        <v>0</v>
      </c>
      <c r="Y186" s="478">
        <v>3</v>
      </c>
    </row>
    <row r="187" spans="19:25" x14ac:dyDescent="0.2">
      <c r="S187" s="478" t="s">
        <v>438</v>
      </c>
      <c r="T187" s="490" t="s">
        <v>1362</v>
      </c>
      <c r="U187" s="346" t="s">
        <v>1386</v>
      </c>
      <c r="V187" s="345" t="s">
        <v>1318</v>
      </c>
      <c r="W187" s="491" t="s">
        <v>1364</v>
      </c>
      <c r="X187" s="480">
        <v>84520</v>
      </c>
      <c r="Y187" s="478">
        <v>180</v>
      </c>
    </row>
    <row r="188" spans="19:25" x14ac:dyDescent="0.2">
      <c r="S188" s="478" t="s">
        <v>438</v>
      </c>
      <c r="T188" s="490" t="s">
        <v>1362</v>
      </c>
      <c r="U188" s="344" t="s">
        <v>1386</v>
      </c>
      <c r="V188" s="345" t="s">
        <v>1318</v>
      </c>
      <c r="W188" s="491" t="s">
        <v>1383</v>
      </c>
      <c r="X188" s="480">
        <v>0</v>
      </c>
      <c r="Y188" s="478">
        <v>3</v>
      </c>
    </row>
    <row r="189" spans="19:25" x14ac:dyDescent="0.2">
      <c r="T189" s="490"/>
      <c r="U189" s="347" t="s">
        <v>1284</v>
      </c>
      <c r="V189" s="348"/>
      <c r="W189" s="348"/>
      <c r="X189" s="349">
        <v>87260306</v>
      </c>
    </row>
  </sheetData>
  <mergeCells count="4">
    <mergeCell ref="H92:I92"/>
    <mergeCell ref="J92:K92"/>
    <mergeCell ref="L92:M92"/>
    <mergeCell ref="N92:O92"/>
  </mergeCells>
  <conditionalFormatting sqref="B94:B111">
    <cfRule type="dataBar" priority="12">
      <dataBar>
        <cfvo type="min"/>
        <cfvo type="max"/>
        <color rgb="FFFF555A"/>
      </dataBar>
      <extLst>
        <ext xmlns:x14="http://schemas.microsoft.com/office/spreadsheetml/2009/9/main" uri="{B025F937-C7B1-47D3-B67F-A62EFF666E3E}">
          <x14:id>{65F31085-AEBD-41C0-9ED9-166E9E53092B}</x14:id>
        </ext>
      </extLst>
    </cfRule>
  </conditionalFormatting>
  <conditionalFormatting sqref="C94:C111">
    <cfRule type="dataBar" priority="11">
      <dataBar>
        <cfvo type="min"/>
        <cfvo type="max"/>
        <color rgb="FFFF555A"/>
      </dataBar>
      <extLst>
        <ext xmlns:x14="http://schemas.microsoft.com/office/spreadsheetml/2009/9/main" uri="{B025F937-C7B1-47D3-B67F-A62EFF666E3E}">
          <x14:id>{3E3459D8-4229-4616-873E-BA55FCEDC359}</x14:id>
        </ext>
      </extLst>
    </cfRule>
  </conditionalFormatting>
  <conditionalFormatting sqref="D94:D111">
    <cfRule type="dataBar" priority="10">
      <dataBar>
        <cfvo type="min"/>
        <cfvo type="max"/>
        <color rgb="FFFF555A"/>
      </dataBar>
      <extLst>
        <ext xmlns:x14="http://schemas.microsoft.com/office/spreadsheetml/2009/9/main" uri="{B025F937-C7B1-47D3-B67F-A62EFF666E3E}">
          <x14:id>{3D07935F-88FD-4551-AD28-F79E3EFDC483}</x14:id>
        </ext>
      </extLst>
    </cfRule>
  </conditionalFormatting>
  <conditionalFormatting sqref="E94:E111">
    <cfRule type="dataBar" priority="9">
      <dataBar>
        <cfvo type="min"/>
        <cfvo type="max"/>
        <color rgb="FFFF555A"/>
      </dataBar>
      <extLst>
        <ext xmlns:x14="http://schemas.microsoft.com/office/spreadsheetml/2009/9/main" uri="{B025F937-C7B1-47D3-B67F-A62EFF666E3E}">
          <x14:id>{932362CB-BDEF-40FA-BC7F-9155C334CE5E}</x14:id>
        </ext>
      </extLst>
    </cfRule>
  </conditionalFormatting>
  <conditionalFormatting sqref="H94:H111">
    <cfRule type="dataBar" priority="8">
      <dataBar showValue="0">
        <cfvo type="min"/>
        <cfvo type="max"/>
        <color rgb="FFFF555A"/>
      </dataBar>
      <extLst>
        <ext xmlns:x14="http://schemas.microsoft.com/office/spreadsheetml/2009/9/main" uri="{B025F937-C7B1-47D3-B67F-A62EFF666E3E}">
          <x14:id>{8B0820D6-BE2D-4697-ABE6-666C318C0A76}</x14:id>
        </ext>
      </extLst>
    </cfRule>
  </conditionalFormatting>
  <conditionalFormatting sqref="J94:J111">
    <cfRule type="dataBar" priority="7">
      <dataBar showValue="0">
        <cfvo type="min"/>
        <cfvo type="max"/>
        <color rgb="FFFF555A"/>
      </dataBar>
      <extLst>
        <ext xmlns:x14="http://schemas.microsoft.com/office/spreadsheetml/2009/9/main" uri="{B025F937-C7B1-47D3-B67F-A62EFF666E3E}">
          <x14:id>{9706CF03-A6C9-4E78-A35F-BEE1B14CDBCD}</x14:id>
        </ext>
      </extLst>
    </cfRule>
  </conditionalFormatting>
  <conditionalFormatting sqref="L94:L111">
    <cfRule type="dataBar" priority="6">
      <dataBar showValue="0">
        <cfvo type="min"/>
        <cfvo type="max"/>
        <color rgb="FFFF555A"/>
      </dataBar>
      <extLst>
        <ext xmlns:x14="http://schemas.microsoft.com/office/spreadsheetml/2009/9/main" uri="{B025F937-C7B1-47D3-B67F-A62EFF666E3E}">
          <x14:id>{979AC959-3250-4176-8750-3D6293628373}</x14:id>
        </ext>
      </extLst>
    </cfRule>
  </conditionalFormatting>
  <conditionalFormatting sqref="N94:N111">
    <cfRule type="dataBar" priority="5">
      <dataBar showValue="0">
        <cfvo type="min"/>
        <cfvo type="max"/>
        <color rgb="FFFF555A"/>
      </dataBar>
      <extLst>
        <ext xmlns:x14="http://schemas.microsoft.com/office/spreadsheetml/2009/9/main" uri="{B025F937-C7B1-47D3-B67F-A62EFF666E3E}">
          <x14:id>{656E70B7-4114-473E-A6F4-C9DEA1BAFB55}</x14:id>
        </ext>
      </extLst>
    </cfRule>
  </conditionalFormatting>
  <conditionalFormatting sqref="I94:I111">
    <cfRule type="dataBar" priority="4">
      <dataBar showValue="0">
        <cfvo type="min"/>
        <cfvo type="max"/>
        <color rgb="FF63C384"/>
      </dataBar>
      <extLst>
        <ext xmlns:x14="http://schemas.microsoft.com/office/spreadsheetml/2009/9/main" uri="{B025F937-C7B1-47D3-B67F-A62EFF666E3E}">
          <x14:id>{1DE31135-844D-4D17-8D54-128B932FF58A}</x14:id>
        </ext>
      </extLst>
    </cfRule>
  </conditionalFormatting>
  <conditionalFormatting sqref="K94:K111">
    <cfRule type="dataBar" priority="3">
      <dataBar showValue="0">
        <cfvo type="min"/>
        <cfvo type="max"/>
        <color rgb="FF63C384"/>
      </dataBar>
      <extLst>
        <ext xmlns:x14="http://schemas.microsoft.com/office/spreadsheetml/2009/9/main" uri="{B025F937-C7B1-47D3-B67F-A62EFF666E3E}">
          <x14:id>{1D2DE92E-A4C7-4278-8C96-FD6420D49DD1}</x14:id>
        </ext>
      </extLst>
    </cfRule>
  </conditionalFormatting>
  <conditionalFormatting sqref="M94:M111">
    <cfRule type="dataBar" priority="2">
      <dataBar showValue="0">
        <cfvo type="min"/>
        <cfvo type="max"/>
        <color rgb="FF63C384"/>
      </dataBar>
      <extLst>
        <ext xmlns:x14="http://schemas.microsoft.com/office/spreadsheetml/2009/9/main" uri="{B025F937-C7B1-47D3-B67F-A62EFF666E3E}">
          <x14:id>{40172D49-1349-4384-8C08-ABF03470C07F}</x14:id>
        </ext>
      </extLst>
    </cfRule>
  </conditionalFormatting>
  <conditionalFormatting sqref="O94:O111">
    <cfRule type="dataBar" priority="1">
      <dataBar showValue="0">
        <cfvo type="min"/>
        <cfvo type="max"/>
        <color rgb="FF63C384"/>
      </dataBar>
      <extLst>
        <ext xmlns:x14="http://schemas.microsoft.com/office/spreadsheetml/2009/9/main" uri="{B025F937-C7B1-47D3-B67F-A62EFF666E3E}">
          <x14:id>{8E26FFB7-1FF0-4B79-A208-FECD684A2216}</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65F31085-AEBD-41C0-9ED9-166E9E53092B}">
            <x14:dataBar minLength="0" maxLength="100" gradient="0">
              <x14:cfvo type="autoMin"/>
              <x14:cfvo type="autoMax"/>
              <x14:negativeFillColor rgb="FFFF0000"/>
              <x14:axisColor rgb="FF000000"/>
            </x14:dataBar>
          </x14:cfRule>
          <xm:sqref>B94:B111</xm:sqref>
        </x14:conditionalFormatting>
        <x14:conditionalFormatting xmlns:xm="http://schemas.microsoft.com/office/excel/2006/main">
          <x14:cfRule type="dataBar" id="{3E3459D8-4229-4616-873E-BA55FCEDC359}">
            <x14:dataBar minLength="0" maxLength="100" gradient="0">
              <x14:cfvo type="autoMin"/>
              <x14:cfvo type="autoMax"/>
              <x14:negativeFillColor rgb="FFFF0000"/>
              <x14:axisColor rgb="FF000000"/>
            </x14:dataBar>
          </x14:cfRule>
          <xm:sqref>C94:C111</xm:sqref>
        </x14:conditionalFormatting>
        <x14:conditionalFormatting xmlns:xm="http://schemas.microsoft.com/office/excel/2006/main">
          <x14:cfRule type="dataBar" id="{3D07935F-88FD-4551-AD28-F79E3EFDC483}">
            <x14:dataBar minLength="0" maxLength="100" gradient="0">
              <x14:cfvo type="autoMin"/>
              <x14:cfvo type="autoMax"/>
              <x14:negativeFillColor rgb="FFFF0000"/>
              <x14:axisColor rgb="FF000000"/>
            </x14:dataBar>
          </x14:cfRule>
          <xm:sqref>D94:D111</xm:sqref>
        </x14:conditionalFormatting>
        <x14:conditionalFormatting xmlns:xm="http://schemas.microsoft.com/office/excel/2006/main">
          <x14:cfRule type="dataBar" id="{932362CB-BDEF-40FA-BC7F-9155C334CE5E}">
            <x14:dataBar minLength="0" maxLength="100" gradient="0">
              <x14:cfvo type="autoMin"/>
              <x14:cfvo type="autoMax"/>
              <x14:negativeFillColor rgb="FFFF0000"/>
              <x14:axisColor rgb="FF000000"/>
            </x14:dataBar>
          </x14:cfRule>
          <xm:sqref>E94:E111</xm:sqref>
        </x14:conditionalFormatting>
        <x14:conditionalFormatting xmlns:xm="http://schemas.microsoft.com/office/excel/2006/main">
          <x14:cfRule type="dataBar" id="{8B0820D6-BE2D-4697-ABE6-666C318C0A76}">
            <x14:dataBar minLength="0" maxLength="100" gradient="0">
              <x14:cfvo type="autoMin"/>
              <x14:cfvo type="autoMax"/>
              <x14:negativeFillColor rgb="FFFF0000"/>
              <x14:axisColor rgb="FF000000"/>
            </x14:dataBar>
          </x14:cfRule>
          <xm:sqref>H94:H111</xm:sqref>
        </x14:conditionalFormatting>
        <x14:conditionalFormatting xmlns:xm="http://schemas.microsoft.com/office/excel/2006/main">
          <x14:cfRule type="dataBar" id="{9706CF03-A6C9-4E78-A35F-BEE1B14CDBCD}">
            <x14:dataBar minLength="0" maxLength="100" gradient="0">
              <x14:cfvo type="autoMin"/>
              <x14:cfvo type="autoMax"/>
              <x14:negativeFillColor rgb="FFFF0000"/>
              <x14:axisColor rgb="FF000000"/>
            </x14:dataBar>
          </x14:cfRule>
          <xm:sqref>J94:J111</xm:sqref>
        </x14:conditionalFormatting>
        <x14:conditionalFormatting xmlns:xm="http://schemas.microsoft.com/office/excel/2006/main">
          <x14:cfRule type="dataBar" id="{979AC959-3250-4176-8750-3D6293628373}">
            <x14:dataBar minLength="0" maxLength="100" gradient="0">
              <x14:cfvo type="autoMin"/>
              <x14:cfvo type="autoMax"/>
              <x14:negativeFillColor rgb="FFFF0000"/>
              <x14:axisColor rgb="FF000000"/>
            </x14:dataBar>
          </x14:cfRule>
          <xm:sqref>L94:L111</xm:sqref>
        </x14:conditionalFormatting>
        <x14:conditionalFormatting xmlns:xm="http://schemas.microsoft.com/office/excel/2006/main">
          <x14:cfRule type="dataBar" id="{656E70B7-4114-473E-A6F4-C9DEA1BAFB55}">
            <x14:dataBar minLength="0" maxLength="100" gradient="0">
              <x14:cfvo type="autoMin"/>
              <x14:cfvo type="autoMax"/>
              <x14:negativeFillColor rgb="FFFF0000"/>
              <x14:axisColor rgb="FF000000"/>
            </x14:dataBar>
          </x14:cfRule>
          <xm:sqref>N94:N111</xm:sqref>
        </x14:conditionalFormatting>
        <x14:conditionalFormatting xmlns:xm="http://schemas.microsoft.com/office/excel/2006/main">
          <x14:cfRule type="dataBar" id="{1DE31135-844D-4D17-8D54-128B932FF58A}">
            <x14:dataBar minLength="0" maxLength="100" gradient="0">
              <x14:cfvo type="autoMin"/>
              <x14:cfvo type="autoMax"/>
              <x14:negativeFillColor rgb="FFFF0000"/>
              <x14:axisColor rgb="FF000000"/>
            </x14:dataBar>
          </x14:cfRule>
          <xm:sqref>I94:I111</xm:sqref>
        </x14:conditionalFormatting>
        <x14:conditionalFormatting xmlns:xm="http://schemas.microsoft.com/office/excel/2006/main">
          <x14:cfRule type="dataBar" id="{1D2DE92E-A4C7-4278-8C96-FD6420D49DD1}">
            <x14:dataBar minLength="0" maxLength="100" gradient="0">
              <x14:cfvo type="autoMin"/>
              <x14:cfvo type="autoMax"/>
              <x14:negativeFillColor rgb="FFFF0000"/>
              <x14:axisColor rgb="FF000000"/>
            </x14:dataBar>
          </x14:cfRule>
          <xm:sqref>K94:K111</xm:sqref>
        </x14:conditionalFormatting>
        <x14:conditionalFormatting xmlns:xm="http://schemas.microsoft.com/office/excel/2006/main">
          <x14:cfRule type="dataBar" id="{40172D49-1349-4384-8C08-ABF03470C07F}">
            <x14:dataBar minLength="0" maxLength="100" gradient="0">
              <x14:cfvo type="autoMin"/>
              <x14:cfvo type="autoMax"/>
              <x14:negativeFillColor rgb="FFFF0000"/>
              <x14:axisColor rgb="FF000000"/>
            </x14:dataBar>
          </x14:cfRule>
          <xm:sqref>M94:M111</xm:sqref>
        </x14:conditionalFormatting>
        <x14:conditionalFormatting xmlns:xm="http://schemas.microsoft.com/office/excel/2006/main">
          <x14:cfRule type="dataBar" id="{8E26FFB7-1FF0-4B79-A208-FECD684A2216}">
            <x14:dataBar minLength="0" maxLength="100" gradient="0">
              <x14:cfvo type="autoMin"/>
              <x14:cfvo type="autoMax"/>
              <x14:negativeFillColor rgb="FFFF0000"/>
              <x14:axisColor rgb="FF000000"/>
            </x14:dataBar>
          </x14:cfRule>
          <xm:sqref>O94:O111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2E0DD-CD70-4BFC-9A90-93C247024EBB}">
  <dimension ref="A1:G90"/>
  <sheetViews>
    <sheetView workbookViewId="0">
      <selection activeCell="C22" sqref="C22"/>
    </sheetView>
  </sheetViews>
  <sheetFormatPr defaultRowHeight="12.75" x14ac:dyDescent="0.2"/>
  <cols>
    <col min="1" max="1" width="43.7109375" style="478" bestFit="1" customWidth="1"/>
    <col min="2" max="2" width="35.28515625" style="478" customWidth="1"/>
    <col min="3" max="3" width="30.7109375" style="478" bestFit="1" customWidth="1"/>
    <col min="4" max="4" width="11.28515625" style="478" customWidth="1"/>
    <col min="5" max="5" width="9.140625" style="478"/>
    <col min="6" max="6" width="30.140625" style="478" customWidth="1"/>
    <col min="7" max="7" width="255.7109375" style="478" bestFit="1" customWidth="1"/>
    <col min="8" max="16384" width="9.140625" style="478"/>
  </cols>
  <sheetData>
    <row r="1" spans="1:7" ht="38.25" x14ac:dyDescent="0.2">
      <c r="A1" s="484" t="s">
        <v>1496</v>
      </c>
    </row>
    <row r="2" spans="1:7" x14ac:dyDescent="0.2">
      <c r="B2" s="478" t="s">
        <v>1497</v>
      </c>
    </row>
    <row r="3" spans="1:7" x14ac:dyDescent="0.2">
      <c r="A3" s="173" t="s">
        <v>1388</v>
      </c>
      <c r="B3" s="173" t="s">
        <v>1389</v>
      </c>
      <c r="C3" s="173" t="s">
        <v>1390</v>
      </c>
      <c r="F3" s="478" t="s">
        <v>1391</v>
      </c>
      <c r="G3" s="478" t="s">
        <v>1392</v>
      </c>
    </row>
    <row r="4" spans="1:7" x14ac:dyDescent="0.2">
      <c r="A4" s="478" t="s">
        <v>845</v>
      </c>
      <c r="B4" s="478" t="s">
        <v>1393</v>
      </c>
      <c r="C4" s="479" t="str">
        <f>INDEX('CBECS to EPA map'!$I$9:$I$108,MATCH('Typology Mapping'!A4,'CBECS to EPA map'!$H$9:$H$108,0))</f>
        <v>Education</v>
      </c>
      <c r="F4" s="478" t="s">
        <v>111</v>
      </c>
      <c r="G4" s="478" t="s">
        <v>390</v>
      </c>
    </row>
    <row r="5" spans="1:7" x14ac:dyDescent="0.2">
      <c r="A5" s="478" t="s">
        <v>897</v>
      </c>
      <c r="B5" s="478" t="s">
        <v>1394</v>
      </c>
      <c r="C5" s="479" t="str">
        <f>INDEX('CBECS to EPA map'!$I$9:$I$108,MATCH('Typology Mapping'!A5,'CBECS to EPA map'!$H$9:$H$108,0))</f>
        <v>Health care Outpatient</v>
      </c>
      <c r="F5" s="478" t="s">
        <v>393</v>
      </c>
      <c r="G5" s="478" t="s">
        <v>394</v>
      </c>
    </row>
    <row r="6" spans="1:7" x14ac:dyDescent="0.2">
      <c r="A6" s="478" t="s">
        <v>877</v>
      </c>
      <c r="B6" s="478" t="s">
        <v>877</v>
      </c>
      <c r="C6" s="479" t="str">
        <f>INDEX('CBECS to EPA map'!$I$9:$I$108,MATCH('Typology Mapping'!A6,'CBECS to EPA map'!$H$9:$H$108,0))</f>
        <v>Public Assembly</v>
      </c>
      <c r="F6" s="478" t="s">
        <v>403</v>
      </c>
      <c r="G6" s="478" t="s">
        <v>404</v>
      </c>
    </row>
    <row r="7" spans="1:7" x14ac:dyDescent="0.2">
      <c r="A7" s="478" t="s">
        <v>953</v>
      </c>
      <c r="B7" s="478" t="s">
        <v>1395</v>
      </c>
      <c r="C7" s="479" t="str">
        <f>INDEX('CBECS to EPA map'!$I$9:$I$108,MATCH('Typology Mapping'!A7,'CBECS to EPA map'!$H$9:$H$108,0))</f>
        <v>Mercantile Retail (other than mall)</v>
      </c>
      <c r="F7" s="478" t="s">
        <v>407</v>
      </c>
      <c r="G7" s="478" t="s">
        <v>408</v>
      </c>
    </row>
    <row r="8" spans="1:7" x14ac:dyDescent="0.2">
      <c r="A8" s="478" t="s">
        <v>1396</v>
      </c>
      <c r="B8" s="478" t="s">
        <v>1396</v>
      </c>
      <c r="C8" s="479" t="str">
        <f>INDEX('CBECS to EPA map'!$I$9:$I$108,MATCH('Typology Mapping'!A8,'CBECS to EPA map'!$H$9:$H$108,0))</f>
        <v>Office</v>
      </c>
      <c r="F8" s="478" t="s">
        <v>411</v>
      </c>
      <c r="G8" s="478" t="s">
        <v>412</v>
      </c>
    </row>
    <row r="9" spans="1:7" x14ac:dyDescent="0.2">
      <c r="A9" s="478" t="s">
        <v>881</v>
      </c>
      <c r="B9" s="478" t="s">
        <v>1397</v>
      </c>
      <c r="C9" s="479" t="str">
        <f>INDEX('CBECS to EPA map'!$I$9:$I$108,MATCH('Typology Mapping'!A9,'CBECS to EPA map'!$H$9:$H$108,0))</f>
        <v>Food Service</v>
      </c>
      <c r="F9" s="478" t="s">
        <v>416</v>
      </c>
      <c r="G9" s="478" t="s">
        <v>417</v>
      </c>
    </row>
    <row r="10" spans="1:7" x14ac:dyDescent="0.2">
      <c r="A10" s="478" t="s">
        <v>1398</v>
      </c>
      <c r="B10" s="478" t="s">
        <v>1398</v>
      </c>
      <c r="C10" s="479" t="str">
        <f>INDEX('CBECS to EPA map'!$I$9:$I$108,MATCH('Typology Mapping'!A10,'CBECS to EPA map'!$H$9:$H$108,0))</f>
        <v>Lodging</v>
      </c>
      <c r="F10" s="478" t="s">
        <v>421</v>
      </c>
      <c r="G10" s="478" t="s">
        <v>422</v>
      </c>
    </row>
    <row r="11" spans="1:7" x14ac:dyDescent="0.2">
      <c r="A11" s="478" t="s">
        <v>863</v>
      </c>
      <c r="B11" s="478" t="s">
        <v>1399</v>
      </c>
      <c r="C11" s="479" t="str">
        <f>INDEX('CBECS to EPA map'!$I$9:$I$108,MATCH('Typology Mapping'!A11,'CBECS to EPA map'!$H$9:$H$108,0))</f>
        <v>Public Assembly</v>
      </c>
      <c r="F11" s="478" t="s">
        <v>423</v>
      </c>
      <c r="G11" s="478" t="s">
        <v>424</v>
      </c>
    </row>
    <row r="12" spans="1:7" x14ac:dyDescent="0.2">
      <c r="A12" s="478" t="s">
        <v>878</v>
      </c>
      <c r="B12" s="478" t="s">
        <v>878</v>
      </c>
      <c r="C12" s="479" t="str">
        <f>INDEX('CBECS to EPA map'!$I$9:$I$108,MATCH('Typology Mapping'!A12,'CBECS to EPA map'!$H$9:$H$108,0))</f>
        <v>Public Assembly</v>
      </c>
      <c r="F12" s="478" t="s">
        <v>425</v>
      </c>
      <c r="G12" s="478" t="s">
        <v>426</v>
      </c>
    </row>
    <row r="13" spans="1:7" x14ac:dyDescent="0.2">
      <c r="A13" s="478" t="s">
        <v>847</v>
      </c>
      <c r="B13" s="478" t="s">
        <v>1400</v>
      </c>
      <c r="C13" s="479" t="str">
        <f>INDEX('CBECS to EPA map'!$I$9:$I$108,MATCH('Typology Mapping'!A13,'CBECS to EPA map'!$H$9:$H$108,0))</f>
        <v>Education</v>
      </c>
      <c r="F13" s="478" t="s">
        <v>427</v>
      </c>
      <c r="G13" s="478" t="s">
        <v>428</v>
      </c>
    </row>
    <row r="14" spans="1:7" x14ac:dyDescent="0.2">
      <c r="A14" s="478" t="s">
        <v>885</v>
      </c>
      <c r="B14" s="478" t="s">
        <v>1401</v>
      </c>
      <c r="C14" s="479" t="str">
        <f>INDEX('CBECS to EPA map'!$I$9:$I$108,MATCH('Typology Mapping'!A14,'CBECS to EPA map'!$H$9:$H$108,0))</f>
        <v>Food Sales</v>
      </c>
      <c r="F14" s="478" t="s">
        <v>429</v>
      </c>
      <c r="G14" s="478" t="s">
        <v>430</v>
      </c>
    </row>
    <row r="15" spans="1:7" x14ac:dyDescent="0.2">
      <c r="A15" s="478" t="s">
        <v>887</v>
      </c>
      <c r="B15" s="478" t="s">
        <v>1402</v>
      </c>
      <c r="C15" s="479" t="str">
        <f>INDEX('CBECS to EPA map'!$I$9:$I$108,MATCH('Typology Mapping'!A15,'CBECS to EPA map'!$H$9:$H$108,0))</f>
        <v>Food Sales</v>
      </c>
      <c r="F15" s="478" t="s">
        <v>431</v>
      </c>
      <c r="G15" s="478" t="s">
        <v>432</v>
      </c>
    </row>
    <row r="16" spans="1:7" x14ac:dyDescent="0.2">
      <c r="A16" s="478" t="s">
        <v>856</v>
      </c>
      <c r="B16" s="478" t="s">
        <v>1403</v>
      </c>
      <c r="C16" s="479" t="str">
        <f>INDEX('CBECS to EPA map'!$I$9:$I$108,MATCH('Typology Mapping'!A16,'CBECS to EPA map'!$H$9:$H$108,0))</f>
        <v>Public Assembly</v>
      </c>
      <c r="F16" s="478" t="s">
        <v>433</v>
      </c>
      <c r="G16" s="478" t="s">
        <v>434</v>
      </c>
    </row>
    <row r="17" spans="1:7" x14ac:dyDescent="0.2">
      <c r="A17" s="478" t="s">
        <v>1404</v>
      </c>
      <c r="B17" s="478" t="s">
        <v>1404</v>
      </c>
      <c r="C17" s="479" t="str">
        <f>INDEX('CBECS to EPA map'!$I$9:$I$108,MATCH('Typology Mapping'!A17,'CBECS to EPA map'!$H$9:$H$108,0))</f>
        <v>Public order and safety</v>
      </c>
      <c r="F17" s="478" t="s">
        <v>435</v>
      </c>
      <c r="G17" s="478" t="s">
        <v>436</v>
      </c>
    </row>
    <row r="18" spans="1:7" x14ac:dyDescent="0.2">
      <c r="A18" s="478" t="s">
        <v>1405</v>
      </c>
      <c r="B18" s="478" t="s">
        <v>1405</v>
      </c>
      <c r="C18" s="479" t="str">
        <f>INDEX('CBECS to EPA map'!$I$9:$I$108,MATCH('Typology Mapping'!A18,'CBECS to EPA map'!$H$9:$H$108,0))</f>
        <v>Other</v>
      </c>
      <c r="F18" s="478" t="s">
        <v>173</v>
      </c>
      <c r="G18" s="478" t="s">
        <v>437</v>
      </c>
    </row>
    <row r="19" spans="1:7" x14ac:dyDescent="0.2">
      <c r="A19" s="478" t="s">
        <v>1406</v>
      </c>
      <c r="B19" s="478" t="s">
        <v>1407</v>
      </c>
      <c r="C19" s="479" t="str">
        <f>INDEX('CBECS to EPA map'!$I$9:$I$108,MATCH('Typology Mapping'!A19,'CBECS to EPA map'!$H$9:$H$108,0))</f>
        <v>Warehouse and storage</v>
      </c>
      <c r="F19" s="478" t="s">
        <v>438</v>
      </c>
      <c r="G19" s="478" t="s">
        <v>439</v>
      </c>
    </row>
    <row r="20" spans="1:7" x14ac:dyDescent="0.2">
      <c r="A20" s="478" t="s">
        <v>937</v>
      </c>
      <c r="B20" s="478" t="s">
        <v>1408</v>
      </c>
      <c r="C20" s="479" t="str">
        <f>INDEX('CBECS to EPA map'!$I$9:$I$108,MATCH('Typology Mapping'!A20,'CBECS to EPA map'!$H$9:$H$108,0))</f>
        <v>Other</v>
      </c>
    </row>
    <row r="21" spans="1:7" x14ac:dyDescent="0.2">
      <c r="A21" s="478" t="s">
        <v>956</v>
      </c>
      <c r="B21" s="478" t="s">
        <v>1409</v>
      </c>
      <c r="C21" s="479" t="str">
        <f>INDEX('CBECS to EPA map'!$I$9:$I$108,MATCH('Typology Mapping'!A21,'CBECS to EPA map'!$H$9:$H$108,0))</f>
        <v>Mercantile Enclosed and strip malls</v>
      </c>
    </row>
    <row r="22" spans="1:7" x14ac:dyDescent="0.2">
      <c r="A22" s="478" t="s">
        <v>975</v>
      </c>
      <c r="B22" s="478" t="s">
        <v>1410</v>
      </c>
      <c r="C22" s="479" t="str">
        <f>INDEX('CBECS to EPA map'!$I$9:$I$108,MATCH('Typology Mapping'!A22,'CBECS to EPA map'!$H$9:$H$108,0))</f>
        <v>Other</v>
      </c>
    </row>
    <row r="23" spans="1:7" x14ac:dyDescent="0.2">
      <c r="A23" s="478" t="s">
        <v>888</v>
      </c>
      <c r="B23" s="478" t="s">
        <v>1411</v>
      </c>
      <c r="C23" s="479" t="str">
        <f>INDEX('CBECS to EPA map'!$I$9:$I$108,MATCH('Typology Mapping'!A23,'CBECS to EPA map'!$H$9:$H$108,0))</f>
        <v>Food Service</v>
      </c>
    </row>
    <row r="24" spans="1:7" x14ac:dyDescent="0.2">
      <c r="A24" s="478" t="s">
        <v>1412</v>
      </c>
      <c r="B24" s="478" t="s">
        <v>1413</v>
      </c>
      <c r="C24" s="479" t="str">
        <f>INDEX('CBECS to EPA map'!$I$9:$I$108,MATCH('Typology Mapping'!A24,'CBECS to EPA map'!$H$9:$H$108,0))</f>
        <v>Office</v>
      </c>
    </row>
    <row r="25" spans="1:7" x14ac:dyDescent="0.2">
      <c r="A25" s="478" t="s">
        <v>939</v>
      </c>
      <c r="B25" s="478" t="s">
        <v>1414</v>
      </c>
      <c r="C25" s="479" t="str">
        <f>INDEX('CBECS to EPA map'!$I$9:$I$108,MATCH('Typology Mapping'!A25,'CBECS to EPA map'!$H$9:$H$108,0))</f>
        <v>Public order and safety</v>
      </c>
    </row>
    <row r="26" spans="1:7" x14ac:dyDescent="0.2">
      <c r="A26" s="478" t="s">
        <v>865</v>
      </c>
      <c r="B26" s="478" t="s">
        <v>1415</v>
      </c>
      <c r="C26" s="479" t="str">
        <f>INDEX('CBECS to EPA map'!$I$9:$I$108,MATCH('Typology Mapping'!A26,'CBECS to EPA map'!$H$9:$H$108,0))</f>
        <v>Public Assembly</v>
      </c>
    </row>
    <row r="27" spans="1:7" x14ac:dyDescent="0.2">
      <c r="A27" s="478" t="s">
        <v>393</v>
      </c>
      <c r="B27" s="478" t="s">
        <v>393</v>
      </c>
      <c r="C27" s="479" t="str">
        <f>INDEX('CBECS to EPA map'!$I$9:$I$108,MATCH('Typology Mapping'!A27,'CBECS to EPA map'!$H$9:$H$108,0))</f>
        <v>Food Sales</v>
      </c>
    </row>
    <row r="28" spans="1:7" x14ac:dyDescent="0.2">
      <c r="A28" s="478" t="s">
        <v>403</v>
      </c>
      <c r="B28" s="478" t="s">
        <v>1416</v>
      </c>
      <c r="C28" s="479" t="str">
        <f>INDEX('CBECS to EPA map'!$I$9:$I$108,MATCH('Typology Mapping'!A28,'CBECS to EPA map'!$H$9:$H$108,0))</f>
        <v>Food Service</v>
      </c>
    </row>
    <row r="29" spans="1:7" x14ac:dyDescent="0.2">
      <c r="A29" s="478" t="s">
        <v>1417</v>
      </c>
      <c r="B29" s="478" t="s">
        <v>1418</v>
      </c>
      <c r="C29" s="479" t="str">
        <f>INDEX('CBECS to EPA map'!$I$9:$I$108,MATCH('Typology Mapping'!A29,'CBECS to EPA map'!$H$9:$H$108,0))</f>
        <v>Health care Inpatient</v>
      </c>
    </row>
    <row r="30" spans="1:7" x14ac:dyDescent="0.2">
      <c r="A30" s="478" t="s">
        <v>586</v>
      </c>
      <c r="B30" s="478" t="s">
        <v>586</v>
      </c>
      <c r="C30" s="479" t="str">
        <f>INDEX('CBECS to EPA map'!$I$9:$I$108,MATCH('Typology Mapping'!A30,'CBECS to EPA map'!$H$9:$H$108,0))</f>
        <v>Lodging</v>
      </c>
    </row>
    <row r="31" spans="1:7" x14ac:dyDescent="0.2">
      <c r="A31" s="478" t="s">
        <v>866</v>
      </c>
      <c r="B31" s="478" t="s">
        <v>1419</v>
      </c>
      <c r="C31" s="479" t="str">
        <f>INDEX('CBECS to EPA map'!$I$9:$I$108,MATCH('Typology Mapping'!A31,'CBECS to EPA map'!$H$9:$H$108,0))</f>
        <v>Public Assembly</v>
      </c>
    </row>
    <row r="32" spans="1:7" x14ac:dyDescent="0.2">
      <c r="A32" s="478" t="s">
        <v>872</v>
      </c>
      <c r="B32" s="478" t="s">
        <v>1420</v>
      </c>
      <c r="C32" s="479" t="str">
        <f>INDEX('CBECS to EPA map'!$I$9:$I$108,MATCH('Typology Mapping'!A32,'CBECS to EPA map'!$H$9:$H$108,0))</f>
        <v>Public Assembly</v>
      </c>
    </row>
    <row r="33" spans="1:3" x14ac:dyDescent="0.2">
      <c r="A33" s="478" t="s">
        <v>1279</v>
      </c>
      <c r="B33" s="478" t="s">
        <v>1279</v>
      </c>
      <c r="C33" s="479" t="str">
        <f>INDEX('CBECS to EPA map'!$I$9:$I$108,MATCH('Typology Mapping'!A33,'CBECS to EPA map'!$H$9:$H$108,0))</f>
        <v>Education</v>
      </c>
    </row>
    <row r="34" spans="1:3" x14ac:dyDescent="0.2">
      <c r="A34" s="478" t="s">
        <v>967</v>
      </c>
      <c r="B34" s="478" t="s">
        <v>967</v>
      </c>
      <c r="C34" s="479" t="str">
        <f>INDEX('CBECS to EPA map'!$I$9:$I$108,MATCH('Typology Mapping'!A34,'CBECS to EPA map'!$H$9:$H$108,0))</f>
        <v>Other</v>
      </c>
    </row>
    <row r="35" spans="1:3" x14ac:dyDescent="0.2">
      <c r="A35" s="478" t="s">
        <v>941</v>
      </c>
      <c r="B35" s="478" t="s">
        <v>941</v>
      </c>
      <c r="C35" s="479" t="str">
        <f>INDEX('CBECS to EPA map'!$I$9:$I$108,MATCH('Typology Mapping'!A35,'CBECS to EPA map'!$H$9:$H$108,0))</f>
        <v>Public Assembly</v>
      </c>
    </row>
    <row r="36" spans="1:3" x14ac:dyDescent="0.2">
      <c r="A36" s="478" t="s">
        <v>958</v>
      </c>
      <c r="B36" s="478" t="s">
        <v>1421</v>
      </c>
      <c r="C36" s="479" t="str">
        <f>INDEX('CBECS to EPA map'!$I$9:$I$108,MATCH('Typology Mapping'!A36,'CBECS to EPA map'!$H$9:$H$108,0))</f>
        <v>Mercantile Enclosed and strip malls</v>
      </c>
    </row>
    <row r="37" spans="1:3" x14ac:dyDescent="0.2">
      <c r="A37" s="478" t="s">
        <v>943</v>
      </c>
      <c r="B37" s="478" t="s">
        <v>1422</v>
      </c>
      <c r="C37" s="479" t="str">
        <f>INDEX('CBECS to EPA map'!$I$9:$I$108,MATCH('Typology Mapping'!A37,'CBECS to EPA map'!$H$9:$H$108,0))</f>
        <v>Service</v>
      </c>
    </row>
    <row r="38" spans="1:3" x14ac:dyDescent="0.2">
      <c r="A38" s="478" t="s">
        <v>926</v>
      </c>
      <c r="B38" s="478" t="s">
        <v>1423</v>
      </c>
      <c r="C38" s="479" t="str">
        <f>INDEX('CBECS to EPA map'!$I$9:$I$108,MATCH('Typology Mapping'!A38,'CBECS to EPA map'!$H$9:$H$108,0))</f>
        <v>Other</v>
      </c>
    </row>
    <row r="39" spans="1:3" x14ac:dyDescent="0.2">
      <c r="A39" s="478" t="s">
        <v>1424</v>
      </c>
      <c r="B39" s="478" t="s">
        <v>1425</v>
      </c>
      <c r="C39" s="479" t="str">
        <f>INDEX('CBECS to EPA map'!$I$9:$I$108,MATCH('Typology Mapping'!A39,'CBECS to EPA map'!$H$9:$H$108,0))</f>
        <v>Health care Outpatient</v>
      </c>
    </row>
    <row r="40" spans="1:3" x14ac:dyDescent="0.2">
      <c r="A40" s="478" t="s">
        <v>928</v>
      </c>
      <c r="B40" s="478" t="s">
        <v>1426</v>
      </c>
      <c r="C40" s="479" t="str">
        <f>INDEX('CBECS to EPA map'!$I$9:$I$108,MATCH('Typology Mapping'!A40,'CBECS to EPA map'!$H$9:$H$108,0))</f>
        <v>Other</v>
      </c>
    </row>
    <row r="41" spans="1:3" x14ac:dyDescent="0.2">
      <c r="A41" s="478" t="s">
        <v>858</v>
      </c>
      <c r="B41" s="478" t="s">
        <v>1427</v>
      </c>
      <c r="C41" s="479" t="str">
        <f>INDEX('CBECS to EPA map'!$I$9:$I$108,MATCH('Typology Mapping'!A41,'CBECS to EPA map'!$H$9:$H$108,0))</f>
        <v>Public Assembly</v>
      </c>
    </row>
    <row r="42" spans="1:3" x14ac:dyDescent="0.2">
      <c r="A42" s="478" t="s">
        <v>1428</v>
      </c>
      <c r="B42" s="478" t="s">
        <v>487</v>
      </c>
      <c r="C42" s="479" t="str">
        <f>INDEX('CBECS to EPA map'!$I$9:$I$108,MATCH('Typology Mapping'!A42,'CBECS to EPA map'!$H$9:$H$108,0))</f>
        <v>Multifamily</v>
      </c>
    </row>
    <row r="43" spans="1:3" x14ac:dyDescent="0.2">
      <c r="A43" s="478" t="s">
        <v>860</v>
      </c>
      <c r="B43" s="478" t="s">
        <v>860</v>
      </c>
      <c r="C43" s="479" t="str">
        <f>INDEX('CBECS to EPA map'!$I$9:$I$108,MATCH('Typology Mapping'!A43,'CBECS to EPA map'!$H$9:$H$108,0))</f>
        <v>Public Assembly</v>
      </c>
    </row>
    <row r="44" spans="1:3" x14ac:dyDescent="0.2">
      <c r="A44" s="478" t="s">
        <v>1429</v>
      </c>
      <c r="B44" s="478" t="s">
        <v>1430</v>
      </c>
      <c r="C44" s="479" t="str">
        <f>INDEX('CBECS to EPA map'!$I$9:$I$108,MATCH('Typology Mapping'!A44,'CBECS to EPA map'!$H$9:$H$108,0))</f>
        <v>Warehouse and storage</v>
      </c>
    </row>
    <row r="45" spans="1:3" x14ac:dyDescent="0.2">
      <c r="A45" s="478" t="s">
        <v>425</v>
      </c>
      <c r="B45" s="478" t="s">
        <v>425</v>
      </c>
      <c r="C45" s="479" t="str">
        <f>INDEX('CBECS to EPA map'!$I$9:$I$108,MATCH('Typology Mapping'!A45,'CBECS to EPA map'!$H$9:$H$108,0))</f>
        <v>Office</v>
      </c>
    </row>
    <row r="46" spans="1:3" x14ac:dyDescent="0.2">
      <c r="A46" s="478" t="s">
        <v>173</v>
      </c>
      <c r="B46" s="478" t="s">
        <v>173</v>
      </c>
      <c r="C46" s="479" t="str">
        <f>INDEX('CBECS to EPA map'!$I$9:$I$108,MATCH('Typology Mapping'!A46,'CBECS to EPA map'!$H$9:$H$108,0))</f>
        <v>Other</v>
      </c>
    </row>
    <row r="47" spans="1:3" x14ac:dyDescent="0.2">
      <c r="A47" s="478" t="s">
        <v>854</v>
      </c>
      <c r="B47" s="478" t="s">
        <v>1431</v>
      </c>
      <c r="C47" s="479" t="str">
        <f>INDEX('CBECS to EPA map'!$I$9:$I$108,MATCH('Typology Mapping'!A47,'CBECS to EPA map'!$H$9:$H$108,0))</f>
        <v>Education</v>
      </c>
    </row>
    <row r="48" spans="1:3" x14ac:dyDescent="0.2">
      <c r="A48" s="478" t="s">
        <v>880</v>
      </c>
      <c r="B48" s="478" t="s">
        <v>1432</v>
      </c>
      <c r="C48" s="479" t="str">
        <f>INDEX('CBECS to EPA map'!$I$9:$I$108,MATCH('Typology Mapping'!A48,'CBECS to EPA map'!$H$9:$H$108,0))</f>
        <v>Public Assembly</v>
      </c>
    </row>
    <row r="49" spans="1:3" x14ac:dyDescent="0.2">
      <c r="A49" s="478" t="s">
        <v>923</v>
      </c>
      <c r="B49" s="478" t="s">
        <v>1433</v>
      </c>
      <c r="C49" s="479" t="str">
        <f>INDEX('CBECS to EPA map'!$I$9:$I$108,MATCH('Typology Mapping'!A49,'CBECS to EPA map'!$H$9:$H$108,0))</f>
        <v>Lodging</v>
      </c>
    </row>
    <row r="50" spans="1:3" x14ac:dyDescent="0.2">
      <c r="A50" s="478" t="s">
        <v>961</v>
      </c>
      <c r="B50" s="478" t="s">
        <v>1434</v>
      </c>
      <c r="C50" s="479" t="str">
        <f>INDEX('CBECS to EPA map'!$I$9:$I$108,MATCH('Typology Mapping'!A50,'CBECS to EPA map'!$H$9:$H$108,0))</f>
        <v>Mercantile Enclosed and strip malls</v>
      </c>
    </row>
    <row r="51" spans="1:3" x14ac:dyDescent="0.2">
      <c r="A51" s="478" t="s">
        <v>949</v>
      </c>
      <c r="B51" s="478" t="s">
        <v>1435</v>
      </c>
      <c r="C51" s="479" t="str">
        <f>INDEX('CBECS to EPA map'!$I$9:$I$108,MATCH('Typology Mapping'!A51,'CBECS to EPA map'!$H$9:$H$108,0))</f>
        <v>Public order and safety</v>
      </c>
    </row>
    <row r="52" spans="1:3" x14ac:dyDescent="0.2">
      <c r="A52" s="478" t="s">
        <v>869</v>
      </c>
      <c r="B52" s="478" t="s">
        <v>1436</v>
      </c>
      <c r="C52" s="479" t="str">
        <f>INDEX('CBECS to EPA map'!$I$9:$I$108,MATCH('Typology Mapping'!A52,'CBECS to EPA map'!$H$9:$H$108,0))</f>
        <v>Public Assembly</v>
      </c>
    </row>
    <row r="53" spans="1:3" x14ac:dyDescent="0.2">
      <c r="A53" s="478" t="s">
        <v>891</v>
      </c>
      <c r="B53" s="478" t="s">
        <v>1437</v>
      </c>
      <c r="C53" s="479" t="str">
        <f>INDEX('CBECS to EPA map'!$I$9:$I$108,MATCH('Typology Mapping'!A53,'CBECS to EPA map'!$H$9:$H$108,0))</f>
        <v>Food Service</v>
      </c>
    </row>
    <row r="54" spans="1:3" x14ac:dyDescent="0.2">
      <c r="A54" s="478" t="s">
        <v>973</v>
      </c>
      <c r="B54" s="478" t="s">
        <v>1438</v>
      </c>
      <c r="C54" s="479" t="str">
        <f>INDEX('CBECS to EPA map'!$I$9:$I$108,MATCH('Typology Mapping'!A54,'CBECS to EPA map'!$H$9:$H$108,0))</f>
        <v>Service</v>
      </c>
    </row>
    <row r="55" spans="1:3" x14ac:dyDescent="0.2">
      <c r="A55" s="478" t="s">
        <v>901</v>
      </c>
      <c r="B55" s="478" t="s">
        <v>1439</v>
      </c>
      <c r="C55" s="479" t="str">
        <f>INDEX('CBECS to EPA map'!$I$9:$I$108,MATCH('Typology Mapping'!A55,'CBECS to EPA map'!$H$9:$H$108,0))</f>
        <v>Health care Inpatient</v>
      </c>
    </row>
    <row r="56" spans="1:3" x14ac:dyDescent="0.2">
      <c r="A56" s="478" t="s">
        <v>876</v>
      </c>
      <c r="B56" s="478" t="s">
        <v>1440</v>
      </c>
      <c r="C56" s="479" t="str">
        <f>INDEX('CBECS to EPA map'!$I$9:$I$108,MATCH('Typology Mapping'!A56,'CBECS to EPA map'!$H$9:$H$108,0))</f>
        <v>Public Assembly</v>
      </c>
    </row>
    <row r="57" spans="1:3" x14ac:dyDescent="0.2">
      <c r="A57" s="478" t="s">
        <v>969</v>
      </c>
      <c r="B57" s="478" t="s">
        <v>1441</v>
      </c>
      <c r="C57" s="479" t="str">
        <f>INDEX('CBECS to EPA map'!$I$9:$I$108,MATCH('Typology Mapping'!A57,'CBECS to EPA map'!$H$9:$H$108,0))</f>
        <v>Other</v>
      </c>
    </row>
    <row r="58" spans="1:3" x14ac:dyDescent="0.2">
      <c r="A58" s="478" t="s">
        <v>977</v>
      </c>
      <c r="B58" s="478" t="s">
        <v>1442</v>
      </c>
      <c r="C58" s="479" t="str">
        <f>INDEX('CBECS to EPA map'!$I$9:$I$108,MATCH('Typology Mapping'!A58,'CBECS to EPA map'!$H$9:$H$108,0))</f>
        <v>Other</v>
      </c>
    </row>
    <row r="59" spans="1:3" x14ac:dyDescent="0.2">
      <c r="A59" s="478" t="s">
        <v>905</v>
      </c>
      <c r="B59" s="478" t="s">
        <v>36</v>
      </c>
      <c r="C59" s="479" t="str">
        <f>INDEX('CBECS to EPA map'!$I$9:$I$108,MATCH('Typology Mapping'!A59,'CBECS to EPA map'!$H$9:$H$108,0))</f>
        <v>Health care Outpatient</v>
      </c>
    </row>
    <row r="60" spans="1:3" x14ac:dyDescent="0.2">
      <c r="A60" s="478" t="s">
        <v>932</v>
      </c>
      <c r="B60" s="478" t="s">
        <v>932</v>
      </c>
      <c r="C60" s="479" t="str">
        <f>INDEX('CBECS to EPA map'!$I$9:$I$108,MATCH('Typology Mapping'!A60,'CBECS to EPA map'!$H$9:$H$108,0))</f>
        <v>Other</v>
      </c>
    </row>
    <row r="61" spans="1:3" x14ac:dyDescent="0.2">
      <c r="A61" s="478" t="s">
        <v>861</v>
      </c>
      <c r="B61" s="478" t="s">
        <v>1443</v>
      </c>
      <c r="C61" s="479" t="str">
        <f>INDEX('CBECS to EPA map'!$I$9:$I$108,MATCH('Typology Mapping'!A61,'CBECS to EPA map'!$H$9:$H$108,0))</f>
        <v>Public Assembly</v>
      </c>
    </row>
    <row r="62" spans="1:3" x14ac:dyDescent="0.2">
      <c r="A62" s="478" t="s">
        <v>971</v>
      </c>
      <c r="B62" s="478" t="s">
        <v>1444</v>
      </c>
      <c r="C62" s="479" t="str">
        <f>INDEX('CBECS to EPA map'!$I$9:$I$108,MATCH('Typology Mapping'!A62,'CBECS to EPA map'!$H$9:$H$108,0))</f>
        <v>Service</v>
      </c>
    </row>
    <row r="63" spans="1:3" x14ac:dyDescent="0.2">
      <c r="A63" s="478" t="s">
        <v>945</v>
      </c>
      <c r="B63" s="478" t="s">
        <v>1445</v>
      </c>
      <c r="C63" s="479" t="str">
        <f>INDEX('CBECS to EPA map'!$I$9:$I$108,MATCH('Typology Mapping'!A63,'CBECS to EPA map'!$H$9:$H$108,0))</f>
        <v>Public order and safety</v>
      </c>
    </row>
    <row r="64" spans="1:3" x14ac:dyDescent="0.2">
      <c r="A64" s="478" t="s">
        <v>851</v>
      </c>
      <c r="B64" s="478" t="s">
        <v>1446</v>
      </c>
      <c r="C64" s="479" t="str">
        <f>INDEX('CBECS to EPA map'!$I$9:$I$108,MATCH('Typology Mapping'!A64,'CBECS to EPA map'!$H$9:$H$108,0))</f>
        <v>Education</v>
      </c>
    </row>
    <row r="65" spans="1:3" x14ac:dyDescent="0.2">
      <c r="A65" s="478" t="s">
        <v>917</v>
      </c>
      <c r="B65" s="478" t="s">
        <v>1447</v>
      </c>
      <c r="C65" s="479" t="str">
        <f>INDEX('CBECS to EPA map'!$I$9:$I$108,MATCH('Typology Mapping'!A65,'CBECS to EPA map'!$H$9:$H$108,0))</f>
        <v>Public order and safety</v>
      </c>
    </row>
    <row r="66" spans="1:3" x14ac:dyDescent="0.2">
      <c r="A66" s="478" t="s">
        <v>873</v>
      </c>
      <c r="B66" s="478" t="s">
        <v>873</v>
      </c>
      <c r="C66" s="479" t="str">
        <f>INDEX('CBECS to EPA map'!$I$9:$I$108,MATCH('Typology Mapping'!A66,'CBECS to EPA map'!$H$9:$H$108,0))</f>
        <v>Public Assembly</v>
      </c>
    </row>
    <row r="67" spans="1:3" x14ac:dyDescent="0.2">
      <c r="A67" s="478" t="s">
        <v>1448</v>
      </c>
      <c r="B67" s="478" t="s">
        <v>1449</v>
      </c>
      <c r="C67" s="479" t="str">
        <f>INDEX('CBECS to EPA map'!$I$9:$I$108,MATCH('Typology Mapping'!A67,'CBECS to EPA map'!$H$9:$H$108,0))</f>
        <v>Warehouse and storage</v>
      </c>
    </row>
    <row r="68" spans="1:3" x14ac:dyDescent="0.2">
      <c r="A68" s="478" t="s">
        <v>972</v>
      </c>
      <c r="B68" s="478" t="s">
        <v>1450</v>
      </c>
      <c r="C68" s="479" t="str">
        <f>INDEX('CBECS to EPA map'!$I$9:$I$108,MATCH('Typology Mapping'!A68,'CBECS to EPA map'!$H$9:$H$108,0))</f>
        <v>Service</v>
      </c>
    </row>
    <row r="69" spans="1:3" x14ac:dyDescent="0.2">
      <c r="A69" s="478" t="s">
        <v>1451</v>
      </c>
      <c r="B69" s="478" t="s">
        <v>1452</v>
      </c>
      <c r="C69" s="479" t="str">
        <f>INDEX('CBECS to EPA map'!$I$9:$I$108,MATCH('Typology Mapping'!A69,'CBECS to EPA map'!$H$9:$H$108,0))</f>
        <v>Lodging</v>
      </c>
    </row>
    <row r="70" spans="1:3" x14ac:dyDescent="0.2">
      <c r="A70" s="478" t="s">
        <v>906</v>
      </c>
      <c r="B70" s="478" t="s">
        <v>1318</v>
      </c>
      <c r="C70" s="479" t="str">
        <f>INDEX('CBECS to EPA map'!$I$9:$I$108,MATCH('Typology Mapping'!A70,'CBECS to EPA map'!$H$9:$H$108,0))</f>
        <v>Lodging</v>
      </c>
    </row>
    <row r="71" spans="1:3" x14ac:dyDescent="0.2">
      <c r="A71" s="478" t="s">
        <v>543</v>
      </c>
      <c r="B71" s="478" t="s">
        <v>543</v>
      </c>
      <c r="C71" s="479" t="str">
        <f>INDEX('CBECS to EPA map'!$I$9:$I$108,MATCH('Typology Mapping'!A71,'CBECS to EPA map'!$H$9:$H$108,0))</f>
        <v>Food Service</v>
      </c>
    </row>
    <row r="72" spans="1:3" x14ac:dyDescent="0.2">
      <c r="A72" s="478" t="s">
        <v>1453</v>
      </c>
      <c r="B72" s="478" t="s">
        <v>1454</v>
      </c>
      <c r="C72" s="479" t="str">
        <f>INDEX('CBECS to EPA map'!$I$9:$I$108,MATCH('Typology Mapping'!A72,'CBECS to EPA map'!$H$9:$H$108,0))</f>
        <v>Mercantile Retail (other than mall)</v>
      </c>
    </row>
    <row r="73" spans="1:3" x14ac:dyDescent="0.2">
      <c r="A73" s="478" t="s">
        <v>867</v>
      </c>
      <c r="B73" s="478" t="s">
        <v>867</v>
      </c>
      <c r="C73" s="479" t="str">
        <f>INDEX('CBECS to EPA map'!$I$9:$I$108,MATCH('Typology Mapping'!A73,'CBECS to EPA map'!$H$9:$H$108,0))</f>
        <v>Public Assembly</v>
      </c>
    </row>
    <row r="74" spans="1:3" x14ac:dyDescent="0.2">
      <c r="A74" s="478" t="s">
        <v>979</v>
      </c>
      <c r="B74" s="478" t="s">
        <v>1455</v>
      </c>
      <c r="C74" s="479" t="str">
        <f>INDEX('CBECS to EPA map'!$I$9:$I$108,MATCH('Typology Mapping'!A74,'CBECS to EPA map'!$H$9:$H$108,0))</f>
        <v>Warehouse and storage</v>
      </c>
    </row>
    <row r="75" spans="1:3" x14ac:dyDescent="0.2">
      <c r="A75" s="478" t="s">
        <v>1456</v>
      </c>
      <c r="B75" s="478" t="s">
        <v>1457</v>
      </c>
      <c r="C75" s="479" t="str">
        <f>INDEX('CBECS to EPA map'!$I$9:$I$108,MATCH('Typology Mapping'!A75,'CBECS to EPA map'!$H$9:$H$108,0))</f>
        <v>Lodging</v>
      </c>
    </row>
    <row r="76" spans="1:3" x14ac:dyDescent="0.2">
      <c r="A76" s="478" t="s">
        <v>920</v>
      </c>
      <c r="B76" s="478" t="s">
        <v>1458</v>
      </c>
      <c r="C76" s="479" t="str">
        <f>INDEX('CBECS to EPA map'!$I$9:$I$108,MATCH('Typology Mapping'!A76,'CBECS to EPA map'!$H$9:$H$108,0))</f>
        <v>Single Family</v>
      </c>
    </row>
    <row r="77" spans="1:3" x14ac:dyDescent="0.2">
      <c r="A77" s="478" t="s">
        <v>870</v>
      </c>
      <c r="B77" s="478" t="s">
        <v>1459</v>
      </c>
      <c r="C77" s="479" t="str">
        <f>INDEX('CBECS to EPA map'!$I$9:$I$108,MATCH('Typology Mapping'!A77,'CBECS to EPA map'!$H$9:$H$108,0))</f>
        <v>Public Assembly</v>
      </c>
    </row>
    <row r="78" spans="1:3" x14ac:dyDescent="0.2">
      <c r="A78" s="478" t="s">
        <v>874</v>
      </c>
      <c r="B78" s="478" t="s">
        <v>1460</v>
      </c>
      <c r="C78" s="479" t="str">
        <f>INDEX('CBECS to EPA map'!$I$9:$I$108,MATCH('Typology Mapping'!A78,'CBECS to EPA map'!$H$9:$H$108,0))</f>
        <v>Public Assembly</v>
      </c>
    </row>
    <row r="79" spans="1:3" x14ac:dyDescent="0.2">
      <c r="A79" s="478" t="s">
        <v>875</v>
      </c>
      <c r="B79" s="478" t="s">
        <v>1461</v>
      </c>
      <c r="C79" s="479" t="str">
        <f>INDEX('CBECS to EPA map'!$I$9:$I$108,MATCH('Typology Mapping'!A79,'CBECS to EPA map'!$H$9:$H$108,0))</f>
        <v>Public Assembly</v>
      </c>
    </row>
    <row r="80" spans="1:3" x14ac:dyDescent="0.2">
      <c r="A80" s="478" t="s">
        <v>960</v>
      </c>
      <c r="B80" s="478" t="s">
        <v>960</v>
      </c>
      <c r="C80" s="479" t="str">
        <f>INDEX('CBECS to EPA map'!$I$9:$I$108,MATCH('Typology Mapping'!A80,'CBECS to EPA map'!$H$9:$H$108,0))</f>
        <v>Mercantile Enclosed and strip malls</v>
      </c>
    </row>
    <row r="81" spans="1:3" x14ac:dyDescent="0.2">
      <c r="A81" s="478" t="s">
        <v>1462</v>
      </c>
      <c r="B81" s="478" t="s">
        <v>1347</v>
      </c>
      <c r="C81" s="479" t="str">
        <f>INDEX('CBECS to EPA map'!$I$9:$I$108,MATCH('Typology Mapping'!A81,'CBECS to EPA map'!$H$9:$H$108,0))</f>
        <v>Food Sales</v>
      </c>
    </row>
    <row r="82" spans="1:3" x14ac:dyDescent="0.2">
      <c r="A82" s="478" t="s">
        <v>868</v>
      </c>
      <c r="B82" s="478" t="s">
        <v>1463</v>
      </c>
      <c r="C82" s="479" t="str">
        <f>INDEX('CBECS to EPA map'!$I$9:$I$108,MATCH('Typology Mapping'!A82,'CBECS to EPA map'!$H$9:$H$108,0))</f>
        <v>Public Assembly</v>
      </c>
    </row>
    <row r="83" spans="1:3" x14ac:dyDescent="0.2">
      <c r="A83" s="478" t="s">
        <v>946</v>
      </c>
      <c r="B83" s="478" t="s">
        <v>1464</v>
      </c>
      <c r="C83" s="479" t="str">
        <f>INDEX('CBECS to EPA map'!$I$9:$I$108,MATCH('Typology Mapping'!A83,'CBECS to EPA map'!$H$9:$H$108,0))</f>
        <v>Public Assembly</v>
      </c>
    </row>
    <row r="84" spans="1:3" x14ac:dyDescent="0.2">
      <c r="A84" s="478" t="s">
        <v>908</v>
      </c>
      <c r="B84" s="478" t="s">
        <v>1465</v>
      </c>
      <c r="C84" s="479" t="str">
        <f>INDEX('CBECS to EPA map'!$I$9:$I$108,MATCH('Typology Mapping'!A84,'CBECS to EPA map'!$H$9:$H$108,0))</f>
        <v>Health care Outpatient</v>
      </c>
    </row>
    <row r="85" spans="1:3" x14ac:dyDescent="0.2">
      <c r="A85" s="478" t="s">
        <v>931</v>
      </c>
      <c r="B85" s="478" t="s">
        <v>1466</v>
      </c>
      <c r="C85" s="479" t="str">
        <f>INDEX('CBECS to EPA map'!$I$9:$I$108,MATCH('Typology Mapping'!A85,'CBECS to EPA map'!$H$9:$H$108,0))</f>
        <v>Health care Outpatient</v>
      </c>
    </row>
    <row r="86" spans="1:3" x14ac:dyDescent="0.2">
      <c r="A86" s="478" t="s">
        <v>853</v>
      </c>
      <c r="B86" s="478" t="s">
        <v>1467</v>
      </c>
      <c r="C86" s="479" t="str">
        <f>INDEX('CBECS to EPA map'!$I$9:$I$108,MATCH('Typology Mapping'!A86,'CBECS to EPA map'!$H$9:$H$108,0))</f>
        <v>Education</v>
      </c>
    </row>
    <row r="87" spans="1:3" x14ac:dyDescent="0.2">
      <c r="A87" s="478" t="s">
        <v>1468</v>
      </c>
      <c r="B87" s="478" t="s">
        <v>1469</v>
      </c>
      <c r="C87" s="479" t="str">
        <f>INDEX('CBECS to EPA map'!$I$9:$I$108,MATCH('Typology Mapping'!A87,'CBECS to EPA map'!$H$9:$H$108,0))</f>
        <v>Other</v>
      </c>
    </row>
    <row r="88" spans="1:3" x14ac:dyDescent="0.2">
      <c r="A88" s="478" t="s">
        <v>1470</v>
      </c>
      <c r="B88" s="478" t="s">
        <v>1471</v>
      </c>
      <c r="C88" s="479" t="str">
        <f>INDEX('CBECS to EPA map'!$I$9:$I$108,MATCH('Typology Mapping'!A88,'CBECS to EPA map'!$H$9:$H$108,0))</f>
        <v>Food Sales</v>
      </c>
    </row>
    <row r="89" spans="1:3" x14ac:dyDescent="0.2">
      <c r="A89" s="478" t="s">
        <v>1472</v>
      </c>
      <c r="B89" s="478" t="s">
        <v>1473</v>
      </c>
      <c r="C89" s="479" t="str">
        <f>INDEX('CBECS to EPA map'!$I$9:$I$108,MATCH('Typology Mapping'!A89,'CBECS to EPA map'!$H$9:$H$108,0))</f>
        <v>Religious Worship</v>
      </c>
    </row>
    <row r="90" spans="1:3" x14ac:dyDescent="0.2">
      <c r="A90" s="478" t="s">
        <v>879</v>
      </c>
      <c r="B90" s="478" t="s">
        <v>879</v>
      </c>
      <c r="C90" s="479" t="str">
        <f>INDEX('CBECS to EPA map'!$I$9:$I$108,MATCH('Typology Mapping'!A90,'CBECS to EPA map'!$H$9:$H$108,0))</f>
        <v>Public Assembly</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12B6F-80C4-4276-940A-197FDE3F883B}">
  <dimension ref="A1:AA65"/>
  <sheetViews>
    <sheetView workbookViewId="0">
      <selection activeCell="B3" sqref="B3"/>
    </sheetView>
  </sheetViews>
  <sheetFormatPr defaultRowHeight="15" x14ac:dyDescent="0.25"/>
  <cols>
    <col min="1" max="1" width="19.42578125" customWidth="1"/>
    <col min="2" max="4" width="18" customWidth="1"/>
    <col min="5" max="6" width="9.85546875" customWidth="1"/>
    <col min="7" max="7" width="15.5703125" customWidth="1"/>
    <col min="8" max="8" width="11.7109375" bestFit="1" customWidth="1"/>
    <col min="9" max="9" width="12.7109375" bestFit="1" customWidth="1"/>
    <col min="14" max="14" width="24.7109375" customWidth="1"/>
    <col min="15" max="15" width="13.5703125" customWidth="1"/>
    <col min="16" max="16" width="15.85546875" customWidth="1"/>
  </cols>
  <sheetData>
    <row r="1" spans="1:17" x14ac:dyDescent="0.25">
      <c r="A1" s="92"/>
      <c r="B1" s="92"/>
      <c r="C1" s="92"/>
      <c r="D1" s="93"/>
      <c r="E1" s="111" t="s">
        <v>1474</v>
      </c>
      <c r="F1" s="94"/>
      <c r="G1" s="95"/>
      <c r="H1" s="263"/>
      <c r="I1" s="263"/>
      <c r="J1" s="263"/>
      <c r="K1" s="263"/>
      <c r="L1" s="263"/>
      <c r="M1" s="263"/>
      <c r="N1" s="263"/>
      <c r="Q1" t="s">
        <v>1528</v>
      </c>
    </row>
    <row r="2" spans="1:17" ht="31.5" customHeight="1" x14ac:dyDescent="0.25">
      <c r="A2" s="96" t="s">
        <v>534</v>
      </c>
      <c r="B2" s="97" t="s">
        <v>1475</v>
      </c>
      <c r="C2" s="124" t="s">
        <v>1476</v>
      </c>
      <c r="D2" s="124" t="s">
        <v>1477</v>
      </c>
      <c r="E2" s="98" t="s">
        <v>1478</v>
      </c>
      <c r="F2" s="99" t="s">
        <v>1479</v>
      </c>
      <c r="G2" s="100" t="s">
        <v>1480</v>
      </c>
      <c r="H2" s="263"/>
      <c r="I2" s="112" t="s">
        <v>473</v>
      </c>
      <c r="J2" s="112" t="s">
        <v>474</v>
      </c>
      <c r="K2" s="263"/>
      <c r="L2" s="12" t="s">
        <v>698</v>
      </c>
      <c r="M2" s="12" t="s">
        <v>696</v>
      </c>
      <c r="N2" s="13" t="s">
        <v>697</v>
      </c>
      <c r="P2" t="s">
        <v>535</v>
      </c>
      <c r="Q2">
        <v>1578733813.2522159</v>
      </c>
    </row>
    <row r="3" spans="1:17" x14ac:dyDescent="0.25">
      <c r="A3" s="101" t="s">
        <v>535</v>
      </c>
      <c r="B3" s="102">
        <v>20</v>
      </c>
      <c r="C3" s="103">
        <v>15</v>
      </c>
      <c r="D3" s="104">
        <v>12</v>
      </c>
      <c r="E3" s="125">
        <v>0.15</v>
      </c>
      <c r="F3" s="126">
        <v>0.85</v>
      </c>
      <c r="G3" s="127">
        <v>0</v>
      </c>
      <c r="H3" s="263"/>
      <c r="I3" s="264">
        <f>E3*B3</f>
        <v>3</v>
      </c>
      <c r="J3" s="264">
        <f>F3*B3</f>
        <v>17</v>
      </c>
      <c r="K3" s="263"/>
      <c r="L3" s="264" t="e">
        <f>'MF-Short'!U29</f>
        <v>#REF!</v>
      </c>
      <c r="M3" s="264" t="e">
        <f>'MF-Short'!V29</f>
        <v>#REF!</v>
      </c>
      <c r="N3" s="264" t="e">
        <f>'MF-Short'!W29</f>
        <v>#REF!</v>
      </c>
      <c r="P3" t="s">
        <v>536</v>
      </c>
      <c r="Q3">
        <v>2050986345.0062199</v>
      </c>
    </row>
    <row r="4" spans="1:17" x14ac:dyDescent="0.25">
      <c r="A4" s="101" t="s">
        <v>536</v>
      </c>
      <c r="B4" s="105">
        <v>20</v>
      </c>
      <c r="C4" s="106">
        <v>15</v>
      </c>
      <c r="D4" s="107">
        <v>12</v>
      </c>
      <c r="E4" s="125">
        <v>0.15</v>
      </c>
      <c r="F4" s="126">
        <v>0.85</v>
      </c>
      <c r="G4" s="127">
        <v>0</v>
      </c>
      <c r="H4" s="263"/>
      <c r="I4" s="264">
        <f t="shared" ref="I4:I17" si="0">E4*B4</f>
        <v>3</v>
      </c>
      <c r="J4" s="264">
        <f t="shared" ref="J4:J17" si="1">F4*B4</f>
        <v>17</v>
      </c>
      <c r="K4" s="263"/>
      <c r="L4" s="264" t="e">
        <f>'MF-New-Tall'!O29</f>
        <v>#REF!</v>
      </c>
      <c r="M4" s="264" t="e">
        <f>'MF-New-Tall'!P29</f>
        <v>#REF!</v>
      </c>
      <c r="N4" s="264" t="e">
        <f>'MF-New-Tall'!Q29</f>
        <v>#REF!</v>
      </c>
      <c r="P4" t="s">
        <v>537</v>
      </c>
      <c r="Q4">
        <v>2097295458.81253</v>
      </c>
    </row>
    <row r="5" spans="1:17" ht="15" customHeight="1" x14ac:dyDescent="0.25">
      <c r="A5" s="101" t="s">
        <v>537</v>
      </c>
      <c r="B5" s="105">
        <v>25</v>
      </c>
      <c r="C5" s="106">
        <v>18</v>
      </c>
      <c r="D5" s="107">
        <v>12</v>
      </c>
      <c r="E5" s="125">
        <v>0.15</v>
      </c>
      <c r="F5" s="126">
        <v>0.85</v>
      </c>
      <c r="G5" s="127">
        <v>0</v>
      </c>
      <c r="H5" s="263"/>
      <c r="I5" s="264">
        <f t="shared" si="0"/>
        <v>3.75</v>
      </c>
      <c r="J5" s="264">
        <f t="shared" si="1"/>
        <v>21.25</v>
      </c>
      <c r="K5" s="263"/>
      <c r="L5" s="264" t="e">
        <f>L4</f>
        <v>#REF!</v>
      </c>
      <c r="M5" s="264" t="e">
        <f>M4</f>
        <v>#REF!</v>
      </c>
      <c r="N5" s="264" t="e">
        <f>N4</f>
        <v>#REF!</v>
      </c>
      <c r="P5" t="s">
        <v>922</v>
      </c>
      <c r="Q5">
        <v>14985100382.693312</v>
      </c>
    </row>
    <row r="6" spans="1:17" x14ac:dyDescent="0.25">
      <c r="A6" s="101" t="s">
        <v>922</v>
      </c>
      <c r="B6" s="105">
        <v>20</v>
      </c>
      <c r="C6" s="108">
        <v>15</v>
      </c>
      <c r="D6" s="109">
        <v>12</v>
      </c>
      <c r="E6" s="125">
        <v>0.15</v>
      </c>
      <c r="F6" s="126">
        <v>0.85</v>
      </c>
      <c r="G6" s="127">
        <v>0</v>
      </c>
      <c r="H6" s="263"/>
      <c r="I6" s="264">
        <f t="shared" si="0"/>
        <v>3</v>
      </c>
      <c r="J6" s="264">
        <f t="shared" si="1"/>
        <v>17</v>
      </c>
      <c r="K6" s="263"/>
      <c r="L6" s="263"/>
      <c r="M6" s="263"/>
      <c r="N6" s="263"/>
      <c r="P6" t="s">
        <v>538</v>
      </c>
      <c r="Q6">
        <v>1310167698.8141954</v>
      </c>
    </row>
    <row r="7" spans="1:17" x14ac:dyDescent="0.25">
      <c r="A7" s="101" t="s">
        <v>538</v>
      </c>
      <c r="B7" s="105">
        <v>25</v>
      </c>
      <c r="C7" s="110">
        <v>20</v>
      </c>
      <c r="D7" s="104">
        <v>15</v>
      </c>
      <c r="E7" s="125">
        <v>0.05</v>
      </c>
      <c r="F7" s="126">
        <v>0.95</v>
      </c>
      <c r="G7" s="127">
        <v>0</v>
      </c>
      <c r="H7" s="263"/>
      <c r="I7" s="264">
        <f t="shared" si="0"/>
        <v>1.25</v>
      </c>
      <c r="J7" s="264">
        <f t="shared" si="1"/>
        <v>23.75</v>
      </c>
      <c r="K7" s="263"/>
      <c r="L7" s="263"/>
      <c r="M7" s="263"/>
      <c r="N7" s="263"/>
      <c r="P7" t="s">
        <v>539</v>
      </c>
      <c r="Q7">
        <v>979012841.51797235</v>
      </c>
    </row>
    <row r="8" spans="1:17" x14ac:dyDescent="0.25">
      <c r="A8" s="101" t="s">
        <v>539</v>
      </c>
      <c r="B8" s="105">
        <v>140</v>
      </c>
      <c r="C8" s="106">
        <v>120</v>
      </c>
      <c r="D8" s="107">
        <v>100</v>
      </c>
      <c r="E8" s="125">
        <v>0.12</v>
      </c>
      <c r="F8" s="126">
        <v>0.88</v>
      </c>
      <c r="G8" s="127">
        <v>0</v>
      </c>
      <c r="H8" s="263"/>
      <c r="I8" s="264">
        <f t="shared" si="0"/>
        <v>16.8</v>
      </c>
      <c r="J8" s="264">
        <f t="shared" si="1"/>
        <v>123.2</v>
      </c>
      <c r="K8" s="263"/>
      <c r="L8" s="263"/>
      <c r="M8" s="263"/>
      <c r="N8" s="263"/>
      <c r="P8" t="s">
        <v>540</v>
      </c>
      <c r="Q8">
        <v>2978616818.2988834</v>
      </c>
    </row>
    <row r="9" spans="1:17" x14ac:dyDescent="0.25">
      <c r="A9" s="101" t="s">
        <v>540</v>
      </c>
      <c r="B9" s="105">
        <v>100</v>
      </c>
      <c r="C9" s="106">
        <v>90</v>
      </c>
      <c r="D9" s="107">
        <v>80</v>
      </c>
      <c r="E9" s="125">
        <v>0.05</v>
      </c>
      <c r="F9" s="126">
        <v>0.6</v>
      </c>
      <c r="G9" s="127">
        <v>0.35</v>
      </c>
      <c r="H9" s="263"/>
      <c r="I9" s="264">
        <f t="shared" si="0"/>
        <v>5</v>
      </c>
      <c r="J9" s="264">
        <f t="shared" si="1"/>
        <v>60</v>
      </c>
      <c r="K9" s="263"/>
      <c r="L9" s="263"/>
      <c r="M9" s="263"/>
      <c r="N9" s="263"/>
      <c r="P9" t="s">
        <v>541</v>
      </c>
      <c r="Q9">
        <v>1773221098.9395823</v>
      </c>
    </row>
    <row r="10" spans="1:17" x14ac:dyDescent="0.25">
      <c r="A10" s="101" t="s">
        <v>541</v>
      </c>
      <c r="B10" s="105">
        <v>25</v>
      </c>
      <c r="C10" s="106">
        <v>20</v>
      </c>
      <c r="D10" s="107">
        <v>15</v>
      </c>
      <c r="E10" s="125">
        <v>0.3</v>
      </c>
      <c r="F10" s="126">
        <v>0.5</v>
      </c>
      <c r="G10" s="127">
        <v>0.2</v>
      </c>
      <c r="H10" s="263"/>
      <c r="I10" s="264">
        <f t="shared" si="0"/>
        <v>7.5</v>
      </c>
      <c r="J10" s="264">
        <f t="shared" si="1"/>
        <v>12.5</v>
      </c>
      <c r="K10" s="263"/>
      <c r="L10" s="264" t="e">
        <f>'Hotel-Dorm-Lodging'!O29</f>
        <v>#REF!</v>
      </c>
      <c r="M10" s="264" t="e">
        <f>'Hotel-Dorm-Lodging'!P29</f>
        <v>#REF!</v>
      </c>
      <c r="N10" s="264" t="e">
        <f>'Hotel-Dorm-Lodging'!Q29</f>
        <v>#REF!</v>
      </c>
      <c r="P10" t="s">
        <v>425</v>
      </c>
      <c r="Q10">
        <v>7390842457.4444666</v>
      </c>
    </row>
    <row r="11" spans="1:17" x14ac:dyDescent="0.25">
      <c r="A11" s="101" t="s">
        <v>425</v>
      </c>
      <c r="B11" s="105">
        <v>25</v>
      </c>
      <c r="C11" s="106">
        <v>20</v>
      </c>
      <c r="D11" s="107">
        <v>15</v>
      </c>
      <c r="E11" s="125">
        <v>0.02</v>
      </c>
      <c r="F11" s="126">
        <v>0.95</v>
      </c>
      <c r="G11" s="127">
        <v>0.03</v>
      </c>
      <c r="H11" s="263"/>
      <c r="I11" s="264">
        <f t="shared" si="0"/>
        <v>0.5</v>
      </c>
      <c r="J11" s="264">
        <f t="shared" si="1"/>
        <v>23.75</v>
      </c>
      <c r="K11" s="263"/>
      <c r="L11" s="264" t="e">
        <f>Office!O29</f>
        <v>#REF!</v>
      </c>
      <c r="M11" s="264" t="e">
        <f>Office!P29</f>
        <v>#REF!</v>
      </c>
      <c r="N11" s="264" t="e">
        <f>Office!Q29</f>
        <v>#REF!</v>
      </c>
      <c r="P11" t="s">
        <v>542</v>
      </c>
      <c r="Q11">
        <v>2418907735.2915621</v>
      </c>
    </row>
    <row r="12" spans="1:17" x14ac:dyDescent="0.25">
      <c r="A12" s="101" t="s">
        <v>542</v>
      </c>
      <c r="B12" s="105">
        <v>25</v>
      </c>
      <c r="C12" s="106">
        <v>20</v>
      </c>
      <c r="D12" s="107">
        <v>15</v>
      </c>
      <c r="E12" s="125">
        <v>0.1</v>
      </c>
      <c r="F12" s="126">
        <v>0.85</v>
      </c>
      <c r="G12" s="127">
        <v>0.05</v>
      </c>
      <c r="H12" s="263"/>
      <c r="I12" s="264">
        <f t="shared" si="0"/>
        <v>2.5</v>
      </c>
      <c r="J12" s="264">
        <f t="shared" si="1"/>
        <v>21.25</v>
      </c>
      <c r="K12" s="263"/>
      <c r="L12" s="263"/>
      <c r="M12" s="263"/>
      <c r="N12" s="263"/>
      <c r="P12" t="s">
        <v>543</v>
      </c>
      <c r="Q12">
        <v>2441743074.392283</v>
      </c>
    </row>
    <row r="13" spans="1:17" x14ac:dyDescent="0.25">
      <c r="A13" s="101" t="s">
        <v>543</v>
      </c>
      <c r="B13" s="105">
        <v>160</v>
      </c>
      <c r="C13" s="106">
        <v>130</v>
      </c>
      <c r="D13" s="107">
        <v>100</v>
      </c>
      <c r="E13" s="125">
        <v>0.6</v>
      </c>
      <c r="F13" s="126">
        <v>0.4</v>
      </c>
      <c r="G13" s="127">
        <v>0</v>
      </c>
      <c r="H13" s="263"/>
      <c r="I13" s="264">
        <f t="shared" si="0"/>
        <v>96</v>
      </c>
      <c r="J13" s="264">
        <f t="shared" si="1"/>
        <v>64</v>
      </c>
      <c r="K13" s="263"/>
      <c r="L13" s="263"/>
      <c r="M13" s="263"/>
      <c r="N13" s="263"/>
      <c r="P13" t="s">
        <v>544</v>
      </c>
      <c r="Q13">
        <v>642382874.72020555</v>
      </c>
    </row>
    <row r="14" spans="1:17" x14ac:dyDescent="0.25">
      <c r="A14" s="101" t="s">
        <v>544</v>
      </c>
      <c r="B14" s="105">
        <v>20</v>
      </c>
      <c r="C14" s="106">
        <v>15</v>
      </c>
      <c r="D14" s="107">
        <v>10</v>
      </c>
      <c r="E14" s="125">
        <v>0.3</v>
      </c>
      <c r="F14" s="126">
        <v>0.65</v>
      </c>
      <c r="G14" s="127">
        <v>0.05</v>
      </c>
      <c r="H14" s="263"/>
      <c r="I14" s="264">
        <f t="shared" si="0"/>
        <v>6</v>
      </c>
      <c r="J14" s="264">
        <f t="shared" si="1"/>
        <v>13</v>
      </c>
      <c r="K14" s="263"/>
      <c r="L14" s="263"/>
      <c r="M14" s="263"/>
      <c r="N14" s="263"/>
      <c r="P14" t="s">
        <v>545</v>
      </c>
      <c r="Q14">
        <v>550901097.85597873</v>
      </c>
    </row>
    <row r="15" spans="1:17" x14ac:dyDescent="0.25">
      <c r="A15" s="101" t="s">
        <v>545</v>
      </c>
      <c r="B15" s="105">
        <v>60</v>
      </c>
      <c r="C15" s="106">
        <v>50</v>
      </c>
      <c r="D15" s="107">
        <v>40</v>
      </c>
      <c r="E15" s="125">
        <v>0.05</v>
      </c>
      <c r="F15" s="126">
        <v>0.7</v>
      </c>
      <c r="G15" s="127">
        <v>0.25</v>
      </c>
      <c r="H15" s="263"/>
      <c r="I15" s="264">
        <f t="shared" si="0"/>
        <v>3</v>
      </c>
      <c r="J15" s="264">
        <f t="shared" si="1"/>
        <v>42</v>
      </c>
      <c r="K15" s="263"/>
      <c r="L15" s="263"/>
      <c r="M15" s="263"/>
      <c r="N15" s="263"/>
      <c r="P15" t="s">
        <v>546</v>
      </c>
      <c r="Q15">
        <v>2028152589.8745599</v>
      </c>
    </row>
    <row r="16" spans="1:17" x14ac:dyDescent="0.25">
      <c r="A16" s="101" t="s">
        <v>546</v>
      </c>
      <c r="B16" s="105">
        <v>70</v>
      </c>
      <c r="C16" s="106">
        <v>55</v>
      </c>
      <c r="D16" s="107">
        <v>40</v>
      </c>
      <c r="E16" s="125">
        <v>0.05</v>
      </c>
      <c r="F16" s="126">
        <v>0.7</v>
      </c>
      <c r="G16" s="127">
        <v>0.25</v>
      </c>
      <c r="H16" s="263"/>
      <c r="I16" s="264">
        <f t="shared" si="0"/>
        <v>3.5</v>
      </c>
      <c r="J16" s="264">
        <f t="shared" si="1"/>
        <v>49</v>
      </c>
      <c r="K16" s="263"/>
      <c r="L16" s="263"/>
      <c r="M16" s="263"/>
      <c r="N16" s="263"/>
      <c r="P16" t="s">
        <v>79</v>
      </c>
      <c r="Q16">
        <v>742948637.78037357</v>
      </c>
    </row>
    <row r="17" spans="1:10" x14ac:dyDescent="0.25">
      <c r="A17" s="101" t="s">
        <v>79</v>
      </c>
      <c r="B17" s="105">
        <v>15</v>
      </c>
      <c r="C17" s="108">
        <v>12</v>
      </c>
      <c r="D17" s="109">
        <v>10</v>
      </c>
      <c r="E17" s="125">
        <v>0.04</v>
      </c>
      <c r="F17" s="126">
        <v>0.96</v>
      </c>
      <c r="G17" s="127">
        <v>0</v>
      </c>
      <c r="H17" s="263"/>
      <c r="I17" s="264">
        <f t="shared" si="0"/>
        <v>0.6</v>
      </c>
      <c r="J17" s="264">
        <f t="shared" si="1"/>
        <v>14.399999999999999</v>
      </c>
    </row>
    <row r="19" spans="1:10" ht="15.75" thickBot="1" x14ac:dyDescent="0.3">
      <c r="A19" s="263"/>
      <c r="B19" s="263"/>
      <c r="C19" s="263"/>
      <c r="D19" s="263"/>
      <c r="E19" s="263"/>
      <c r="F19" s="263"/>
      <c r="G19" s="263"/>
      <c r="H19" s="263"/>
      <c r="I19" s="263"/>
      <c r="J19" s="263"/>
    </row>
    <row r="20" spans="1:10" ht="24" x14ac:dyDescent="0.25">
      <c r="A20" s="121" t="s">
        <v>1315</v>
      </c>
      <c r="B20" s="121" t="s">
        <v>1316</v>
      </c>
      <c r="C20" s="122"/>
      <c r="D20" s="263"/>
      <c r="E20" s="263"/>
      <c r="F20" s="263"/>
      <c r="G20" s="263"/>
      <c r="H20" s="263"/>
      <c r="I20" s="263"/>
      <c r="J20" s="263"/>
    </row>
    <row r="21" spans="1:10" ht="15.75" thickBot="1" x14ac:dyDescent="0.3">
      <c r="A21" s="123"/>
      <c r="B21" s="113" t="s">
        <v>1481</v>
      </c>
      <c r="C21" s="114" t="s">
        <v>1317</v>
      </c>
      <c r="D21" s="263" t="s">
        <v>1482</v>
      </c>
      <c r="E21" s="263"/>
      <c r="F21" s="263"/>
      <c r="G21" s="263"/>
      <c r="H21" s="263"/>
      <c r="I21" s="263"/>
      <c r="J21" s="263"/>
    </row>
    <row r="22" spans="1:10" x14ac:dyDescent="0.25">
      <c r="A22" s="115" t="s">
        <v>535</v>
      </c>
      <c r="B22" s="116">
        <v>54694.537119614099</v>
      </c>
      <c r="C22" s="117">
        <v>51900756.571905397</v>
      </c>
      <c r="D22" s="264">
        <f>C22/B22</f>
        <v>948.92030000000091</v>
      </c>
      <c r="E22" s="263"/>
      <c r="F22" s="263"/>
      <c r="G22" s="263"/>
      <c r="H22" s="263"/>
      <c r="I22" s="263"/>
      <c r="J22" s="263"/>
    </row>
    <row r="23" spans="1:10" x14ac:dyDescent="0.25">
      <c r="A23" s="118" t="s">
        <v>536</v>
      </c>
      <c r="B23" s="119">
        <v>55805.234264968502</v>
      </c>
      <c r="C23" s="120">
        <v>63225991.096586898</v>
      </c>
      <c r="D23" s="264">
        <f>C23/B23</f>
        <v>1132.975999999999</v>
      </c>
      <c r="E23" s="263"/>
      <c r="F23" s="263"/>
      <c r="G23" s="263"/>
      <c r="H23" s="263"/>
      <c r="I23" s="263"/>
      <c r="J23" s="263"/>
    </row>
    <row r="24" spans="1:10" x14ac:dyDescent="0.25">
      <c r="A24" s="118" t="s">
        <v>537</v>
      </c>
      <c r="B24" s="119">
        <v>35000.832655416998</v>
      </c>
      <c r="C24" s="120">
        <v>46068690.955215</v>
      </c>
      <c r="D24" s="264">
        <f>C24/B24</f>
        <v>1316.2170000000001</v>
      </c>
      <c r="E24" s="263"/>
      <c r="F24" s="263"/>
      <c r="G24" s="263"/>
      <c r="H24" s="263"/>
      <c r="I24" s="263"/>
      <c r="J24" s="263"/>
    </row>
    <row r="25" spans="1:10" x14ac:dyDescent="0.25">
      <c r="A25" s="118" t="s">
        <v>922</v>
      </c>
      <c r="B25" s="119">
        <v>181908.49596</v>
      </c>
      <c r="C25" s="120">
        <v>377036646.13840503</v>
      </c>
      <c r="D25" s="264">
        <f>C25/B25</f>
        <v>2072.6719999999996</v>
      </c>
      <c r="E25" s="263"/>
      <c r="F25" s="263"/>
      <c r="G25" s="263"/>
      <c r="H25" s="263"/>
      <c r="I25" s="263"/>
      <c r="J25" s="263"/>
    </row>
    <row r="32" spans="1:10" x14ac:dyDescent="0.25">
      <c r="A32" s="263" t="s">
        <v>1483</v>
      </c>
      <c r="B32" s="263"/>
      <c r="C32" s="263"/>
      <c r="D32" s="263">
        <v>2050</v>
      </c>
      <c r="E32" s="263">
        <v>2015</v>
      </c>
      <c r="F32" s="263"/>
      <c r="G32" s="263">
        <v>2008</v>
      </c>
      <c r="H32" s="263"/>
      <c r="I32" s="263"/>
      <c r="J32" s="263"/>
    </row>
    <row r="33" spans="1:27" x14ac:dyDescent="0.25">
      <c r="A33" s="263"/>
      <c r="B33" s="263"/>
      <c r="C33" s="263"/>
      <c r="D33" s="118" t="s">
        <v>541</v>
      </c>
      <c r="E33" s="118" t="s">
        <v>541</v>
      </c>
      <c r="F33" s="263" t="s">
        <v>1484</v>
      </c>
      <c r="G33" s="263" t="s">
        <v>425</v>
      </c>
      <c r="H33" s="263" t="s">
        <v>543</v>
      </c>
      <c r="I33" s="263" t="s">
        <v>540</v>
      </c>
      <c r="J33" s="263"/>
      <c r="K33" s="263"/>
      <c r="L33" s="263"/>
      <c r="M33" s="263"/>
      <c r="N33" s="263" t="s">
        <v>535</v>
      </c>
      <c r="O33" s="263" t="s">
        <v>536</v>
      </c>
      <c r="P33" s="263" t="s">
        <v>537</v>
      </c>
      <c r="Q33" s="263"/>
      <c r="R33" s="263"/>
      <c r="S33" s="263"/>
      <c r="T33" s="263"/>
      <c r="U33" s="263"/>
      <c r="V33" s="263" t="s">
        <v>535</v>
      </c>
      <c r="W33" s="263" t="s">
        <v>536</v>
      </c>
      <c r="X33" s="263" t="s">
        <v>537</v>
      </c>
      <c r="Y33" s="263"/>
      <c r="Z33" s="263"/>
      <c r="AA33" s="263"/>
    </row>
    <row r="34" spans="1:27" x14ac:dyDescent="0.25">
      <c r="A34" s="263" t="s">
        <v>1485</v>
      </c>
      <c r="B34" s="263"/>
      <c r="C34" s="263"/>
      <c r="D34" s="263"/>
      <c r="E34" s="263"/>
      <c r="F34" s="263"/>
      <c r="G34" s="263"/>
      <c r="H34" s="263"/>
      <c r="I34" s="263"/>
      <c r="J34" s="263"/>
      <c r="K34" s="264">
        <v>52175.3977692509</v>
      </c>
      <c r="L34" s="264">
        <v>53234.938052648802</v>
      </c>
      <c r="M34" s="264">
        <v>33388.752555993</v>
      </c>
      <c r="N34" s="264"/>
      <c r="O34" s="263"/>
      <c r="P34" s="263"/>
      <c r="Q34" s="263"/>
      <c r="R34" s="263"/>
      <c r="S34" s="263"/>
      <c r="T34" s="263"/>
      <c r="U34" s="263"/>
      <c r="V34" s="264">
        <v>54694.537119614099</v>
      </c>
      <c r="W34" s="264">
        <v>55805.234264968502</v>
      </c>
      <c r="X34" s="264">
        <v>35000.832655416998</v>
      </c>
      <c r="Y34" s="263"/>
      <c r="Z34" s="263"/>
      <c r="AA34" s="263"/>
    </row>
    <row r="35" spans="1:27" x14ac:dyDescent="0.25">
      <c r="A35" s="263"/>
      <c r="B35" s="263"/>
      <c r="C35" s="263" t="s">
        <v>461</v>
      </c>
      <c r="D35" s="120">
        <v>17701503.894343302</v>
      </c>
      <c r="E35" s="264">
        <v>19309294.399999999</v>
      </c>
      <c r="F35" s="263"/>
      <c r="G35" s="263"/>
      <c r="H35" s="264">
        <v>8556782</v>
      </c>
      <c r="I35" s="264">
        <v>16460899.75</v>
      </c>
      <c r="J35" s="263"/>
      <c r="K35" s="264">
        <v>49510294.103816897</v>
      </c>
      <c r="L35" s="264">
        <v>60313907.175137803</v>
      </c>
      <c r="M35" s="264">
        <v>43946843.722991399</v>
      </c>
      <c r="N35" s="264"/>
      <c r="O35" s="263"/>
      <c r="P35" s="263"/>
      <c r="Q35" s="263"/>
      <c r="R35" s="263"/>
      <c r="S35" s="263"/>
      <c r="T35" s="263"/>
      <c r="U35" s="263"/>
      <c r="V35" s="264">
        <v>51900756.571905397</v>
      </c>
      <c r="W35" s="264">
        <v>63225991.096586898</v>
      </c>
      <c r="X35" s="264">
        <v>46068690.955215</v>
      </c>
      <c r="Y35" s="263"/>
      <c r="Z35" s="263"/>
      <c r="AA35" s="263"/>
    </row>
    <row r="36" spans="1:27" x14ac:dyDescent="0.25">
      <c r="A36" s="263" t="s">
        <v>1485</v>
      </c>
      <c r="B36" s="263" t="s">
        <v>1486</v>
      </c>
      <c r="C36" s="263" t="s">
        <v>523</v>
      </c>
      <c r="D36" s="130">
        <v>7.7839007937717897</v>
      </c>
      <c r="E36" s="134">
        <v>8.5818922796785593</v>
      </c>
      <c r="F36" s="22">
        <f>1-D36/E36</f>
        <v>9.2985493164062238E-2</v>
      </c>
      <c r="G36" s="596">
        <v>10.016397202893</v>
      </c>
      <c r="H36" s="134">
        <v>4.7844210785605803</v>
      </c>
      <c r="I36" s="134">
        <v>26.405867463181899</v>
      </c>
      <c r="J36" s="263"/>
      <c r="K36" s="264">
        <v>1783.7277809530401</v>
      </c>
      <c r="L36" s="264">
        <v>417.80626921973499</v>
      </c>
      <c r="M36" s="264">
        <v>4565.0043704047403</v>
      </c>
      <c r="N36" s="90">
        <f>K36*K$34/K$35</f>
        <v>1.8797445696472508</v>
      </c>
      <c r="O36" s="90">
        <f t="shared" ref="O36:P51" si="2">L36*L$34/L$35</f>
        <v>0.36876886114069068</v>
      </c>
      <c r="P36" s="90">
        <f t="shared" si="2"/>
        <v>3.4682764091367493</v>
      </c>
      <c r="Q36" s="263" t="s">
        <v>523</v>
      </c>
      <c r="R36" s="134">
        <f>N36/$E$3</f>
        <v>12.531630464315006</v>
      </c>
      <c r="S36" s="134">
        <f>O36/$E$4</f>
        <v>2.4584590742712713</v>
      </c>
      <c r="T36" s="134">
        <f>P36/$E$5</f>
        <v>23.121842727578329</v>
      </c>
      <c r="U36" s="263"/>
      <c r="V36" s="264">
        <v>2039.5255653290301</v>
      </c>
      <c r="W36" s="264">
        <v>477.72231644736098</v>
      </c>
      <c r="X36" s="264">
        <v>5219.6547134028997</v>
      </c>
      <c r="Y36" s="90">
        <f>V36*V$34/V$35</f>
        <v>2.1493117655181662</v>
      </c>
      <c r="Z36" s="90">
        <f t="shared" ref="Z36:AA36" si="3">W36*W$34/W$35</f>
        <v>0.42165263557865423</v>
      </c>
      <c r="AA36" s="90">
        <f t="shared" si="3"/>
        <v>3.9656490634924935</v>
      </c>
    </row>
    <row r="37" spans="1:27" x14ac:dyDescent="0.25">
      <c r="A37" s="263"/>
      <c r="B37" s="263" t="s">
        <v>1486</v>
      </c>
      <c r="C37" s="263" t="s">
        <v>522</v>
      </c>
      <c r="D37" s="131">
        <v>17.041558256259599</v>
      </c>
      <c r="E37" s="134">
        <v>18.626185706157401</v>
      </c>
      <c r="F37" s="22">
        <f t="shared" ref="F37:F59" si="4">1-D37/E37</f>
        <v>8.5075252383742694E-2</v>
      </c>
      <c r="G37" s="596">
        <v>20.9218777763849</v>
      </c>
      <c r="H37" s="134">
        <v>17.688433279829901</v>
      </c>
      <c r="I37" s="134">
        <v>36.616379085018501</v>
      </c>
      <c r="J37" s="263"/>
      <c r="K37" s="264">
        <v>5328.2176250665398</v>
      </c>
      <c r="L37" s="264">
        <v>7776.4770111151302</v>
      </c>
      <c r="M37" s="264">
        <v>14641.6039681068</v>
      </c>
      <c r="N37" s="90">
        <f t="shared" ref="N37:N64" si="5">K37*K$34/K$35</f>
        <v>5.6150317630116451</v>
      </c>
      <c r="O37" s="90">
        <f t="shared" si="2"/>
        <v>6.8637614663639246</v>
      </c>
      <c r="P37" s="90">
        <f t="shared" si="2"/>
        <v>11.124004604185185</v>
      </c>
      <c r="Q37" s="263" t="s">
        <v>522</v>
      </c>
      <c r="R37" s="134">
        <f>N37/$F$3</f>
        <v>6.6059197211901708</v>
      </c>
      <c r="S37" s="134">
        <f t="shared" ref="S37:T37" si="6">O37/$F$3</f>
        <v>8.0750134898399111</v>
      </c>
      <c r="T37" s="134">
        <f t="shared" si="6"/>
        <v>13.087064240217865</v>
      </c>
      <c r="U37" s="263"/>
      <c r="V37" s="264">
        <v>9251.8732890828996</v>
      </c>
      <c r="W37" s="264">
        <v>12615.1219131576</v>
      </c>
      <c r="X37" s="264">
        <v>23706.7562368203</v>
      </c>
      <c r="Y37" s="90">
        <f t="shared" ref="Y37:Y65" si="7">V37*V$34/V$35</f>
        <v>9.7498950007528453</v>
      </c>
      <c r="Z37" s="90">
        <f t="shared" ref="Z37:Z65" si="8">W37*W$34/W$35</f>
        <v>11.13450056590573</v>
      </c>
      <c r="AA37" s="90">
        <f t="shared" ref="AA37:AA65" si="9">X37*X$34/X$35</f>
        <v>18.011282514068952</v>
      </c>
    </row>
    <row r="38" spans="1:27" x14ac:dyDescent="0.25">
      <c r="A38" s="263"/>
      <c r="B38" s="263" t="s">
        <v>1486</v>
      </c>
      <c r="C38" s="263" t="s">
        <v>1487</v>
      </c>
      <c r="D38" s="131">
        <v>0</v>
      </c>
      <c r="E38" s="134">
        <v>0</v>
      </c>
      <c r="F38" s="22" t="e">
        <f t="shared" si="4"/>
        <v>#DIV/0!</v>
      </c>
      <c r="G38" s="596">
        <v>0.17130000000000001</v>
      </c>
      <c r="H38" s="134">
        <v>0</v>
      </c>
      <c r="I38" s="134">
        <v>0.17130000000000001</v>
      </c>
      <c r="J38" s="263"/>
      <c r="K38" s="264">
        <v>0</v>
      </c>
      <c r="L38" s="264">
        <v>0</v>
      </c>
      <c r="M38" s="264">
        <v>0</v>
      </c>
      <c r="N38" s="90">
        <f t="shared" si="5"/>
        <v>0</v>
      </c>
      <c r="O38" s="90">
        <f t="shared" si="2"/>
        <v>0</v>
      </c>
      <c r="P38" s="90">
        <f t="shared" si="2"/>
        <v>0</v>
      </c>
      <c r="Q38" s="263" t="s">
        <v>1487</v>
      </c>
      <c r="R38" s="263"/>
      <c r="S38" s="263"/>
      <c r="T38" s="263"/>
      <c r="U38" s="263"/>
      <c r="V38" s="264">
        <v>0</v>
      </c>
      <c r="W38" s="264">
        <v>0</v>
      </c>
      <c r="X38" s="264">
        <v>0</v>
      </c>
      <c r="Y38" s="90">
        <f t="shared" si="7"/>
        <v>0</v>
      </c>
      <c r="Z38" s="90">
        <f t="shared" si="8"/>
        <v>0</v>
      </c>
      <c r="AA38" s="90">
        <f t="shared" si="9"/>
        <v>0</v>
      </c>
    </row>
    <row r="39" spans="1:27" x14ac:dyDescent="0.25">
      <c r="A39" s="263"/>
      <c r="B39" s="263" t="s">
        <v>1486</v>
      </c>
      <c r="C39" s="263" t="s">
        <v>1488</v>
      </c>
      <c r="D39" s="131">
        <v>1.1030726123599299</v>
      </c>
      <c r="E39" s="134">
        <v>1.5422432088862099</v>
      </c>
      <c r="F39" s="22">
        <f t="shared" si="4"/>
        <v>0.28476092097266803</v>
      </c>
      <c r="G39" s="596">
        <v>1.1316855767937199</v>
      </c>
      <c r="H39" s="134">
        <v>0</v>
      </c>
      <c r="I39" s="134">
        <v>14.248334025815099</v>
      </c>
      <c r="J39" s="263"/>
      <c r="K39" s="264">
        <v>0</v>
      </c>
      <c r="L39" s="264">
        <v>43.990961199793603</v>
      </c>
      <c r="M39" s="264">
        <v>460.63267735357601</v>
      </c>
      <c r="N39" s="90">
        <f t="shared" si="5"/>
        <v>0</v>
      </c>
      <c r="O39" s="90">
        <f t="shared" si="2"/>
        <v>3.882779617555325E-2</v>
      </c>
      <c r="P39" s="90">
        <f t="shared" si="2"/>
        <v>0.34996712347095993</v>
      </c>
      <c r="Q39" s="263" t="s">
        <v>1488</v>
      </c>
      <c r="R39" s="263"/>
      <c r="S39" s="263"/>
      <c r="T39" s="263"/>
      <c r="U39" s="263"/>
      <c r="V39" s="264">
        <v>0</v>
      </c>
      <c r="W39" s="264">
        <v>54.469729241284</v>
      </c>
      <c r="X39" s="264">
        <v>570.356648975761</v>
      </c>
      <c r="Y39" s="90">
        <f t="shared" si="7"/>
        <v>0</v>
      </c>
      <c r="Z39" s="90">
        <f t="shared" si="8"/>
        <v>4.8076684096824689E-2</v>
      </c>
      <c r="AA39" s="90">
        <f t="shared" si="9"/>
        <v>0.43333025555494337</v>
      </c>
    </row>
    <row r="40" spans="1:27" x14ac:dyDescent="0.25">
      <c r="A40" s="263"/>
      <c r="B40" s="263" t="s">
        <v>1486</v>
      </c>
      <c r="C40" s="263" t="s">
        <v>1489</v>
      </c>
      <c r="D40" s="132">
        <v>0.90251395556721303</v>
      </c>
      <c r="E40" s="134">
        <v>0.51408106962873701</v>
      </c>
      <c r="F40" s="22">
        <f t="shared" si="4"/>
        <v>-0.755586830339809</v>
      </c>
      <c r="G40" s="596">
        <v>0.37722852559790598</v>
      </c>
      <c r="H40" s="134">
        <v>0</v>
      </c>
      <c r="I40" s="134">
        <v>4.7494446752716897</v>
      </c>
      <c r="J40" s="263"/>
      <c r="K40" s="264">
        <v>0</v>
      </c>
      <c r="L40" s="264">
        <v>35.992604618012997</v>
      </c>
      <c r="M40" s="264">
        <v>376.881281471107</v>
      </c>
      <c r="N40" s="90">
        <f t="shared" si="5"/>
        <v>0</v>
      </c>
      <c r="O40" s="90">
        <f t="shared" si="2"/>
        <v>3.1768196870907248E-2</v>
      </c>
      <c r="P40" s="90">
        <f t="shared" si="2"/>
        <v>0.28633673738533033</v>
      </c>
      <c r="Q40" s="263" t="s">
        <v>1489</v>
      </c>
      <c r="R40" s="263"/>
      <c r="S40" s="263"/>
      <c r="T40" s="263"/>
      <c r="U40" s="263"/>
      <c r="V40" s="264">
        <v>0</v>
      </c>
      <c r="W40" s="264">
        <v>18.1565764137613</v>
      </c>
      <c r="X40" s="264">
        <v>190.11888299192</v>
      </c>
      <c r="Y40" s="90">
        <f t="shared" si="7"/>
        <v>0</v>
      </c>
      <c r="Z40" s="90">
        <f t="shared" si="8"/>
        <v>1.6025561365608201E-2</v>
      </c>
      <c r="AA40" s="90">
        <f t="shared" si="9"/>
        <v>0.14444341851831421</v>
      </c>
    </row>
    <row r="41" spans="1:27" x14ac:dyDescent="0.25">
      <c r="A41" s="263"/>
      <c r="B41" s="263" t="s">
        <v>680</v>
      </c>
      <c r="C41" s="263" t="s">
        <v>523</v>
      </c>
      <c r="D41" s="130">
        <v>21.031209290462201</v>
      </c>
      <c r="E41" s="134">
        <v>22.403418684913099</v>
      </c>
      <c r="F41" s="22">
        <f t="shared" si="4"/>
        <v>6.1249999999998694E-2</v>
      </c>
      <c r="G41" s="596">
        <v>1.1200098813700701</v>
      </c>
      <c r="H41" s="134">
        <v>53.982467454004201</v>
      </c>
      <c r="I41" s="134">
        <v>24.547193702282101</v>
      </c>
      <c r="J41" s="263"/>
      <c r="K41" s="264">
        <v>1100.38381676825</v>
      </c>
      <c r="L41" s="264">
        <v>964.96621445798996</v>
      </c>
      <c r="M41" s="264">
        <v>5968.9717813676298</v>
      </c>
      <c r="N41" s="90">
        <f t="shared" si="5"/>
        <v>1.1596166893765998</v>
      </c>
      <c r="O41" s="90">
        <f t="shared" si="2"/>
        <v>0.85170931640033887</v>
      </c>
      <c r="P41" s="90">
        <f t="shared" si="2"/>
        <v>4.5349450594906733</v>
      </c>
      <c r="Q41" s="263" t="s">
        <v>523</v>
      </c>
      <c r="R41" s="263"/>
      <c r="S41" s="263"/>
      <c r="T41" s="263"/>
      <c r="U41" s="263"/>
      <c r="V41" s="264">
        <v>1586.1388349812601</v>
      </c>
      <c r="W41" s="264">
        <v>1390.9422911106201</v>
      </c>
      <c r="X41" s="264">
        <v>8603.9232884578596</v>
      </c>
      <c r="Y41" s="90">
        <f t="shared" si="7"/>
        <v>1.6715195522545556</v>
      </c>
      <c r="Z41" s="90">
        <f t="shared" si="8"/>
        <v>1.2276891047212133</v>
      </c>
      <c r="AA41" s="90">
        <f t="shared" si="9"/>
        <v>6.5368577434099837</v>
      </c>
    </row>
    <row r="42" spans="1:27" x14ac:dyDescent="0.25">
      <c r="A42" s="263"/>
      <c r="B42" s="263" t="s">
        <v>680</v>
      </c>
      <c r="C42" s="263" t="s">
        <v>522</v>
      </c>
      <c r="D42" s="133">
        <v>0.59417429882667505</v>
      </c>
      <c r="E42" s="134">
        <v>0.80613313482138205</v>
      </c>
      <c r="F42" s="22">
        <f t="shared" si="4"/>
        <v>0.26293279216425147</v>
      </c>
      <c r="G42" s="596">
        <v>1.3090265225545199</v>
      </c>
      <c r="H42" s="134">
        <v>7.4322838949340397</v>
      </c>
      <c r="I42" s="134">
        <v>0.91542185923535102</v>
      </c>
      <c r="J42" s="263"/>
      <c r="K42" s="264">
        <v>3551.9837334997201</v>
      </c>
      <c r="L42" s="264">
        <v>3536.3915598908902</v>
      </c>
      <c r="M42" s="264">
        <v>423.15151897634701</v>
      </c>
      <c r="N42" s="90">
        <f t="shared" si="5"/>
        <v>3.7431844734481072</v>
      </c>
      <c r="O42" s="90">
        <f t="shared" si="2"/>
        <v>3.1213296308932335</v>
      </c>
      <c r="P42" s="90">
        <f t="shared" si="2"/>
        <v>0.32149069566518851</v>
      </c>
      <c r="Q42" s="263" t="s">
        <v>522</v>
      </c>
      <c r="R42" s="263"/>
      <c r="S42" s="263"/>
      <c r="T42" s="263"/>
      <c r="U42" s="263"/>
      <c r="V42" s="264">
        <v>6064.3711949528397</v>
      </c>
      <c r="W42" s="264">
        <v>6218.83114988534</v>
      </c>
      <c r="X42" s="264">
        <v>706.27242088263904</v>
      </c>
      <c r="Y42" s="90">
        <f t="shared" si="7"/>
        <v>6.3908119522291109</v>
      </c>
      <c r="Z42" s="90">
        <f t="shared" si="8"/>
        <v>5.4889345845678505</v>
      </c>
      <c r="AA42" s="90">
        <f t="shared" si="9"/>
        <v>0.53659269017391431</v>
      </c>
    </row>
    <row r="43" spans="1:27" x14ac:dyDescent="0.25">
      <c r="A43" s="263"/>
      <c r="B43" s="263" t="s">
        <v>680</v>
      </c>
      <c r="C43" s="263" t="s">
        <v>1487</v>
      </c>
      <c r="D43" s="131">
        <v>0</v>
      </c>
      <c r="E43" s="134">
        <v>0</v>
      </c>
      <c r="F43" s="22" t="e">
        <f t="shared" si="4"/>
        <v>#DIV/0!</v>
      </c>
      <c r="G43" s="596">
        <v>0</v>
      </c>
      <c r="H43" s="134">
        <v>0</v>
      </c>
      <c r="I43" s="134">
        <v>0</v>
      </c>
      <c r="J43" s="263"/>
      <c r="K43" s="264">
        <v>0</v>
      </c>
      <c r="L43" s="264">
        <v>0</v>
      </c>
      <c r="M43" s="264">
        <v>0</v>
      </c>
      <c r="N43" s="90">
        <f t="shared" si="5"/>
        <v>0</v>
      </c>
      <c r="O43" s="90">
        <f t="shared" si="2"/>
        <v>0</v>
      </c>
      <c r="P43" s="90">
        <f t="shared" si="2"/>
        <v>0</v>
      </c>
      <c r="Q43" s="263" t="s">
        <v>1487</v>
      </c>
      <c r="R43" s="263"/>
      <c r="S43" s="263"/>
      <c r="T43" s="263"/>
      <c r="U43" s="263"/>
      <c r="V43" s="264">
        <v>0</v>
      </c>
      <c r="W43" s="264">
        <v>0</v>
      </c>
      <c r="X43" s="264">
        <v>0</v>
      </c>
      <c r="Y43" s="90">
        <f t="shared" si="7"/>
        <v>0</v>
      </c>
      <c r="Z43" s="90">
        <f t="shared" si="8"/>
        <v>0</v>
      </c>
      <c r="AA43" s="90">
        <f t="shared" si="9"/>
        <v>0</v>
      </c>
    </row>
    <row r="44" spans="1:27" x14ac:dyDescent="0.25">
      <c r="A44" s="263"/>
      <c r="B44" s="263" t="s">
        <v>680</v>
      </c>
      <c r="C44" s="263" t="s">
        <v>1488</v>
      </c>
      <c r="D44" s="131">
        <v>2.9803759821400702</v>
      </c>
      <c r="E44" s="134">
        <v>4.0260957836137896</v>
      </c>
      <c r="F44" s="22">
        <f t="shared" si="4"/>
        <v>0.25973545034119638</v>
      </c>
      <c r="G44" s="596">
        <v>0.126542408706283</v>
      </c>
      <c r="H44" s="134">
        <v>0</v>
      </c>
      <c r="I44" s="134">
        <v>13.245412814184901</v>
      </c>
      <c r="J44" s="263"/>
      <c r="K44" s="264">
        <v>0</v>
      </c>
      <c r="L44" s="264">
        <v>27.965758800206402</v>
      </c>
      <c r="M44" s="264">
        <v>292.83157264642398</v>
      </c>
      <c r="N44" s="90">
        <f t="shared" si="5"/>
        <v>0</v>
      </c>
      <c r="O44" s="90">
        <f t="shared" si="2"/>
        <v>2.4683452076836945E-2</v>
      </c>
      <c r="P44" s="90">
        <f t="shared" si="2"/>
        <v>0.22247970710484993</v>
      </c>
      <c r="Q44" s="263" t="s">
        <v>1488</v>
      </c>
      <c r="R44" s="263"/>
      <c r="S44" s="263"/>
      <c r="T44" s="263"/>
      <c r="U44" s="263"/>
      <c r="V44" s="264">
        <v>0</v>
      </c>
      <c r="W44" s="264">
        <v>43.653070758715998</v>
      </c>
      <c r="X44" s="264">
        <v>457.09460102423901</v>
      </c>
      <c r="Y44" s="90">
        <f t="shared" si="7"/>
        <v>0</v>
      </c>
      <c r="Z44" s="90">
        <f t="shared" si="8"/>
        <v>3.8529563520071072E-2</v>
      </c>
      <c r="AA44" s="90">
        <f t="shared" si="9"/>
        <v>0.34727905886661464</v>
      </c>
    </row>
    <row r="45" spans="1:27" x14ac:dyDescent="0.25">
      <c r="A45" s="263"/>
      <c r="B45" s="263" t="s">
        <v>680</v>
      </c>
      <c r="C45" s="263" t="s">
        <v>1489</v>
      </c>
      <c r="D45" s="132">
        <v>2.4384894399327899</v>
      </c>
      <c r="E45" s="134">
        <v>1.34203192787126</v>
      </c>
      <c r="F45" s="22">
        <f t="shared" si="4"/>
        <v>-0.81701298552616253</v>
      </c>
      <c r="G45" s="596">
        <v>4.2180802902094201E-2</v>
      </c>
      <c r="H45" s="134">
        <v>0</v>
      </c>
      <c r="I45" s="134">
        <v>4.4151376047283097</v>
      </c>
      <c r="J45" s="263"/>
      <c r="K45" s="264">
        <v>0</v>
      </c>
      <c r="L45" s="264">
        <v>22.881075381986999</v>
      </c>
      <c r="M45" s="264">
        <v>239.58946852889301</v>
      </c>
      <c r="N45" s="90">
        <f t="shared" si="5"/>
        <v>0</v>
      </c>
      <c r="O45" s="90">
        <f t="shared" si="2"/>
        <v>2.0195551699230176E-2</v>
      </c>
      <c r="P45" s="90">
        <f t="shared" si="2"/>
        <v>0.18202885126760499</v>
      </c>
      <c r="Q45" s="263" t="s">
        <v>1489</v>
      </c>
      <c r="R45" s="263"/>
      <c r="S45" s="263"/>
      <c r="T45" s="263"/>
      <c r="U45" s="263"/>
      <c r="V45" s="264">
        <v>0</v>
      </c>
      <c r="W45" s="264">
        <v>14.551023586238699</v>
      </c>
      <c r="X45" s="264">
        <v>152.36486700808001</v>
      </c>
      <c r="Y45" s="90">
        <f t="shared" si="7"/>
        <v>0</v>
      </c>
      <c r="Z45" s="90">
        <f t="shared" si="8"/>
        <v>1.2843187840023718E-2</v>
      </c>
      <c r="AA45" s="90">
        <f t="shared" si="9"/>
        <v>0.11575968628887182</v>
      </c>
    </row>
    <row r="46" spans="1:27" x14ac:dyDescent="0.25">
      <c r="A46" s="263"/>
      <c r="B46" s="263" t="s">
        <v>1490</v>
      </c>
      <c r="C46" s="263" t="s">
        <v>523</v>
      </c>
      <c r="D46" s="130">
        <v>6.9752566540011403</v>
      </c>
      <c r="E46" s="134">
        <v>6.9752566540011403</v>
      </c>
      <c r="F46" s="22">
        <f t="shared" si="4"/>
        <v>0</v>
      </c>
      <c r="G46" s="596">
        <v>0</v>
      </c>
      <c r="H46" s="134">
        <v>146.37971352012599</v>
      </c>
      <c r="I46" s="134">
        <v>2.1925583617592701</v>
      </c>
      <c r="J46" s="263"/>
      <c r="K46" s="264">
        <v>0</v>
      </c>
      <c r="L46" s="264">
        <v>0</v>
      </c>
      <c r="M46" s="264">
        <v>0</v>
      </c>
      <c r="N46" s="90">
        <f t="shared" si="5"/>
        <v>0</v>
      </c>
      <c r="O46" s="90">
        <f t="shared" si="2"/>
        <v>0</v>
      </c>
      <c r="P46" s="90">
        <f t="shared" si="2"/>
        <v>0</v>
      </c>
      <c r="Q46" s="263" t="s">
        <v>523</v>
      </c>
      <c r="R46" s="263"/>
      <c r="S46" s="263"/>
      <c r="T46" s="263"/>
      <c r="U46" s="263"/>
      <c r="V46" s="264">
        <v>0</v>
      </c>
      <c r="W46" s="264">
        <v>0</v>
      </c>
      <c r="X46" s="264">
        <v>0</v>
      </c>
      <c r="Y46" s="90">
        <f t="shared" si="7"/>
        <v>0</v>
      </c>
      <c r="Z46" s="90">
        <f t="shared" si="8"/>
        <v>0</v>
      </c>
      <c r="AA46" s="90">
        <f t="shared" si="9"/>
        <v>0</v>
      </c>
    </row>
    <row r="47" spans="1:27" x14ac:dyDescent="0.25">
      <c r="A47" s="263"/>
      <c r="B47" s="263" t="s">
        <v>1490</v>
      </c>
      <c r="C47" s="263" t="s">
        <v>522</v>
      </c>
      <c r="D47" s="133">
        <v>7.2603527953146196</v>
      </c>
      <c r="E47" s="134">
        <v>8.4429696919147208</v>
      </c>
      <c r="F47" s="22">
        <f t="shared" si="4"/>
        <v>0.14007120003434526</v>
      </c>
      <c r="G47" s="596">
        <v>17.848190124355298</v>
      </c>
      <c r="H47" s="134">
        <v>42.615938549647502</v>
      </c>
      <c r="I47" s="134">
        <v>26.389064347626199</v>
      </c>
      <c r="J47" s="263"/>
      <c r="K47" s="264">
        <v>0</v>
      </c>
      <c r="L47" s="264">
        <v>0</v>
      </c>
      <c r="M47" s="264">
        <v>0</v>
      </c>
      <c r="N47" s="90">
        <f t="shared" si="5"/>
        <v>0</v>
      </c>
      <c r="O47" s="90">
        <f t="shared" si="2"/>
        <v>0</v>
      </c>
      <c r="P47" s="90">
        <f t="shared" si="2"/>
        <v>0</v>
      </c>
      <c r="Q47" s="263" t="s">
        <v>522</v>
      </c>
      <c r="R47" s="263"/>
      <c r="S47" s="263"/>
      <c r="T47" s="263"/>
      <c r="U47" s="263"/>
      <c r="V47" s="264">
        <v>0</v>
      </c>
      <c r="W47" s="264">
        <v>0</v>
      </c>
      <c r="X47" s="264">
        <v>0</v>
      </c>
      <c r="Y47" s="90">
        <f t="shared" si="7"/>
        <v>0</v>
      </c>
      <c r="Z47" s="90">
        <f t="shared" si="8"/>
        <v>0</v>
      </c>
      <c r="AA47" s="90">
        <f t="shared" si="9"/>
        <v>0</v>
      </c>
    </row>
    <row r="48" spans="1:27" x14ac:dyDescent="0.25">
      <c r="A48" s="263"/>
      <c r="B48" s="263" t="s">
        <v>1490</v>
      </c>
      <c r="C48" s="263" t="s">
        <v>1487</v>
      </c>
      <c r="D48" s="131">
        <v>0</v>
      </c>
      <c r="E48" s="134">
        <v>0</v>
      </c>
      <c r="F48" s="22" t="e">
        <f t="shared" si="4"/>
        <v>#DIV/0!</v>
      </c>
      <c r="G48" s="596">
        <v>0</v>
      </c>
      <c r="H48" s="134">
        <v>0</v>
      </c>
      <c r="I48" s="134">
        <v>0</v>
      </c>
      <c r="J48" s="263"/>
      <c r="K48" s="264">
        <v>0</v>
      </c>
      <c r="L48" s="264">
        <v>0</v>
      </c>
      <c r="M48" s="264">
        <v>0</v>
      </c>
      <c r="N48" s="90">
        <f t="shared" si="5"/>
        <v>0</v>
      </c>
      <c r="O48" s="90">
        <f t="shared" si="2"/>
        <v>0</v>
      </c>
      <c r="P48" s="90">
        <f t="shared" si="2"/>
        <v>0</v>
      </c>
      <c r="Q48" s="263" t="s">
        <v>1487</v>
      </c>
      <c r="R48" s="263"/>
      <c r="S48" s="263"/>
      <c r="T48" s="263"/>
      <c r="U48" s="263"/>
      <c r="V48" s="264">
        <v>0</v>
      </c>
      <c r="W48" s="264">
        <v>0</v>
      </c>
      <c r="X48" s="264">
        <v>0</v>
      </c>
      <c r="Y48" s="90">
        <f t="shared" si="7"/>
        <v>0</v>
      </c>
      <c r="Z48" s="90">
        <f t="shared" si="8"/>
        <v>0</v>
      </c>
      <c r="AA48" s="90">
        <f t="shared" si="9"/>
        <v>0</v>
      </c>
    </row>
    <row r="49" spans="2:27" x14ac:dyDescent="0.25">
      <c r="B49" s="263" t="s">
        <v>1490</v>
      </c>
      <c r="C49" s="263" t="s">
        <v>1488</v>
      </c>
      <c r="D49" s="131">
        <v>0</v>
      </c>
      <c r="E49" s="134">
        <v>0</v>
      </c>
      <c r="F49" s="22" t="e">
        <f t="shared" si="4"/>
        <v>#DIV/0!</v>
      </c>
      <c r="G49" s="596">
        <v>0</v>
      </c>
      <c r="H49" s="134">
        <v>0</v>
      </c>
      <c r="I49" s="134">
        <v>0</v>
      </c>
      <c r="J49" s="263"/>
      <c r="K49" s="264">
        <v>0</v>
      </c>
      <c r="L49" s="264">
        <v>0</v>
      </c>
      <c r="M49" s="264">
        <v>0</v>
      </c>
      <c r="N49" s="90">
        <f t="shared" si="5"/>
        <v>0</v>
      </c>
      <c r="O49" s="90">
        <f t="shared" si="2"/>
        <v>0</v>
      </c>
      <c r="P49" s="90">
        <f t="shared" si="2"/>
        <v>0</v>
      </c>
      <c r="Q49" s="263" t="s">
        <v>1488</v>
      </c>
      <c r="R49" s="263"/>
      <c r="S49" s="263"/>
      <c r="T49" s="263"/>
      <c r="U49" s="263"/>
      <c r="V49" s="264">
        <v>0</v>
      </c>
      <c r="W49" s="264">
        <v>0</v>
      </c>
      <c r="X49" s="264">
        <v>0</v>
      </c>
      <c r="Y49" s="90">
        <f t="shared" si="7"/>
        <v>0</v>
      </c>
      <c r="Z49" s="90">
        <f t="shared" si="8"/>
        <v>0</v>
      </c>
      <c r="AA49" s="90">
        <f t="shared" si="9"/>
        <v>0</v>
      </c>
    </row>
    <row r="50" spans="2:27" x14ac:dyDescent="0.25">
      <c r="B50" s="263" t="s">
        <v>1490</v>
      </c>
      <c r="C50" s="263" t="s">
        <v>1489</v>
      </c>
      <c r="D50" s="132">
        <v>0</v>
      </c>
      <c r="E50" s="134">
        <v>0</v>
      </c>
      <c r="F50" s="22" t="e">
        <f t="shared" si="4"/>
        <v>#DIV/0!</v>
      </c>
      <c r="G50" s="596">
        <v>0</v>
      </c>
      <c r="H50" s="134">
        <v>0</v>
      </c>
      <c r="I50" s="134">
        <v>0</v>
      </c>
      <c r="J50" s="263"/>
      <c r="K50" s="264">
        <v>0</v>
      </c>
      <c r="L50" s="264">
        <v>0</v>
      </c>
      <c r="M50" s="264">
        <v>0</v>
      </c>
      <c r="N50" s="90">
        <f t="shared" si="5"/>
        <v>0</v>
      </c>
      <c r="O50" s="90">
        <f t="shared" si="2"/>
        <v>0</v>
      </c>
      <c r="P50" s="90">
        <f t="shared" si="2"/>
        <v>0</v>
      </c>
      <c r="Q50" s="263" t="s">
        <v>1489</v>
      </c>
      <c r="R50" s="263"/>
      <c r="S50" s="263"/>
      <c r="T50" s="263"/>
      <c r="U50" s="263"/>
      <c r="V50" s="264">
        <v>0</v>
      </c>
      <c r="W50" s="264">
        <v>0</v>
      </c>
      <c r="X50" s="264">
        <v>0</v>
      </c>
      <c r="Y50" s="90">
        <f t="shared" si="7"/>
        <v>0</v>
      </c>
      <c r="Z50" s="90">
        <f t="shared" si="8"/>
        <v>0</v>
      </c>
      <c r="AA50" s="90">
        <f t="shared" si="9"/>
        <v>0</v>
      </c>
    </row>
    <row r="51" spans="2:27" x14ac:dyDescent="0.25">
      <c r="B51" s="263" t="s">
        <v>1491</v>
      </c>
      <c r="C51" s="263" t="s">
        <v>523</v>
      </c>
      <c r="D51" s="130">
        <v>4.3422279250888502</v>
      </c>
      <c r="E51" s="134">
        <v>4.3422279250888502</v>
      </c>
      <c r="F51" s="22">
        <f t="shared" si="4"/>
        <v>0</v>
      </c>
      <c r="G51" s="596">
        <v>0</v>
      </c>
      <c r="H51" s="134">
        <v>0</v>
      </c>
      <c r="I51" s="134">
        <v>0</v>
      </c>
      <c r="J51" s="263"/>
      <c r="K51" s="264">
        <v>3949.8325898531598</v>
      </c>
      <c r="L51" s="264">
        <v>7534.5325379897204</v>
      </c>
      <c r="M51" s="264">
        <v>3981.8290379385598</v>
      </c>
      <c r="N51" s="90">
        <f t="shared" si="5"/>
        <v>4.1624492487442408</v>
      </c>
      <c r="O51" s="90">
        <f t="shared" si="2"/>
        <v>6.6502137185516057</v>
      </c>
      <c r="P51" s="90">
        <f t="shared" si="2"/>
        <v>3.0252071185363532</v>
      </c>
      <c r="Q51" s="263" t="s">
        <v>523</v>
      </c>
      <c r="R51" s="263"/>
      <c r="S51" s="263"/>
      <c r="T51" s="263"/>
      <c r="U51" s="263"/>
      <c r="V51" s="264">
        <v>3949.8325898531598</v>
      </c>
      <c r="W51" s="264">
        <v>7534.5325379897204</v>
      </c>
      <c r="X51" s="264">
        <v>3981.8290379385598</v>
      </c>
      <c r="Y51" s="90">
        <f t="shared" si="7"/>
        <v>4.1624492487442373</v>
      </c>
      <c r="Z51" s="90">
        <f t="shared" si="8"/>
        <v>6.6502137185516084</v>
      </c>
      <c r="AA51" s="90">
        <f t="shared" si="9"/>
        <v>3.02520711853635</v>
      </c>
    </row>
    <row r="52" spans="2:27" x14ac:dyDescent="0.25">
      <c r="B52" s="263" t="s">
        <v>1491</v>
      </c>
      <c r="C52" s="263" t="s">
        <v>522</v>
      </c>
      <c r="D52" s="135">
        <v>8.1237370285749595</v>
      </c>
      <c r="E52" s="136">
        <v>17.525952224717098</v>
      </c>
      <c r="F52" s="137">
        <f t="shared" si="4"/>
        <v>0.53647385748787224</v>
      </c>
      <c r="G52" s="596">
        <v>18.832370687127298</v>
      </c>
      <c r="H52" s="134">
        <v>28.376644054782599</v>
      </c>
      <c r="I52" s="134">
        <v>27.634963255423799</v>
      </c>
      <c r="J52" s="263"/>
      <c r="K52" s="264">
        <v>4482.8730324238804</v>
      </c>
      <c r="L52" s="264">
        <v>3380.3616702367599</v>
      </c>
      <c r="M52" s="264">
        <v>4910.96547636375</v>
      </c>
      <c r="N52" s="90">
        <f t="shared" si="5"/>
        <v>4.724182876500671</v>
      </c>
      <c r="O52" s="90">
        <f t="shared" ref="O52:O64" si="10">L52*L$34/L$35</f>
        <v>2.9836127775317052</v>
      </c>
      <c r="P52" s="90">
        <f t="shared" ref="P52:P64" si="11">M52*M$34/M$35</f>
        <v>3.7311214460562003</v>
      </c>
      <c r="Q52" s="263" t="s">
        <v>522</v>
      </c>
      <c r="R52" s="263"/>
      <c r="S52" s="263"/>
      <c r="T52" s="263"/>
      <c r="U52" s="263"/>
      <c r="V52" s="264">
        <v>9222.2668756705607</v>
      </c>
      <c r="W52" s="264">
        <v>6742.5862984098603</v>
      </c>
      <c r="X52" s="264">
        <v>10443.0091793794</v>
      </c>
      <c r="Y52" s="90">
        <f t="shared" si="7"/>
        <v>9.7186948953147603</v>
      </c>
      <c r="Z52" s="90">
        <f t="shared" si="8"/>
        <v>5.951217235325255</v>
      </c>
      <c r="AA52" s="90">
        <f t="shared" si="9"/>
        <v>7.9341090256237372</v>
      </c>
    </row>
    <row r="53" spans="2:27" x14ac:dyDescent="0.25">
      <c r="B53" s="263" t="s">
        <v>1491</v>
      </c>
      <c r="C53" s="263" t="s">
        <v>1487</v>
      </c>
      <c r="D53" s="131">
        <v>0</v>
      </c>
      <c r="E53" s="134">
        <v>0</v>
      </c>
      <c r="F53" s="22" t="e">
        <f t="shared" si="4"/>
        <v>#DIV/0!</v>
      </c>
      <c r="G53" s="596">
        <v>0</v>
      </c>
      <c r="H53" s="134">
        <v>0</v>
      </c>
      <c r="I53" s="134">
        <v>0</v>
      </c>
      <c r="J53" s="263"/>
      <c r="K53" s="264">
        <v>0</v>
      </c>
      <c r="L53" s="264">
        <v>0</v>
      </c>
      <c r="M53" s="264">
        <v>0</v>
      </c>
      <c r="N53" s="90">
        <f t="shared" si="5"/>
        <v>0</v>
      </c>
      <c r="O53" s="90">
        <f t="shared" si="10"/>
        <v>0</v>
      </c>
      <c r="P53" s="90">
        <f t="shared" si="11"/>
        <v>0</v>
      </c>
      <c r="Q53" s="263" t="s">
        <v>1487</v>
      </c>
      <c r="R53" s="263"/>
      <c r="S53" s="263"/>
      <c r="T53" s="263"/>
      <c r="U53" s="263"/>
      <c r="V53" s="264">
        <v>0</v>
      </c>
      <c r="W53" s="264">
        <v>0</v>
      </c>
      <c r="X53" s="264">
        <v>0</v>
      </c>
      <c r="Y53" s="90">
        <f t="shared" si="7"/>
        <v>0</v>
      </c>
      <c r="Z53" s="90">
        <f t="shared" si="8"/>
        <v>0</v>
      </c>
      <c r="AA53" s="90">
        <f t="shared" si="9"/>
        <v>0</v>
      </c>
    </row>
    <row r="54" spans="2:27" x14ac:dyDescent="0.25">
      <c r="B54" s="263" t="s">
        <v>1491</v>
      </c>
      <c r="C54" s="263" t="s">
        <v>1488</v>
      </c>
      <c r="D54" s="131">
        <v>0</v>
      </c>
      <c r="E54" s="134">
        <v>0</v>
      </c>
      <c r="F54" s="22" t="e">
        <f t="shared" si="4"/>
        <v>#DIV/0!</v>
      </c>
      <c r="G54" s="596">
        <v>0</v>
      </c>
      <c r="H54" s="134">
        <v>0</v>
      </c>
      <c r="I54" s="134">
        <v>0</v>
      </c>
      <c r="J54" s="263"/>
      <c r="K54" s="264">
        <v>0</v>
      </c>
      <c r="L54" s="264">
        <v>0</v>
      </c>
      <c r="M54" s="264">
        <v>0</v>
      </c>
      <c r="N54" s="90">
        <f t="shared" si="5"/>
        <v>0</v>
      </c>
      <c r="O54" s="90">
        <f t="shared" si="10"/>
        <v>0</v>
      </c>
      <c r="P54" s="90">
        <f t="shared" si="11"/>
        <v>0</v>
      </c>
      <c r="Q54" s="263" t="s">
        <v>1488</v>
      </c>
      <c r="R54" s="263"/>
      <c r="S54" s="263"/>
      <c r="T54" s="263"/>
      <c r="U54" s="263"/>
      <c r="V54" s="264">
        <v>0</v>
      </c>
      <c r="W54" s="264">
        <v>0</v>
      </c>
      <c r="X54" s="264">
        <v>0</v>
      </c>
      <c r="Y54" s="90">
        <f t="shared" si="7"/>
        <v>0</v>
      </c>
      <c r="Z54" s="90">
        <f t="shared" si="8"/>
        <v>0</v>
      </c>
      <c r="AA54" s="90">
        <f t="shared" si="9"/>
        <v>0</v>
      </c>
    </row>
    <row r="55" spans="2:27" x14ac:dyDescent="0.25">
      <c r="B55" s="263" t="s">
        <v>1491</v>
      </c>
      <c r="C55" s="263" t="s">
        <v>1489</v>
      </c>
      <c r="D55" s="132">
        <v>0</v>
      </c>
      <c r="E55" s="134">
        <v>0</v>
      </c>
      <c r="F55" s="22" t="e">
        <f t="shared" si="4"/>
        <v>#DIV/0!</v>
      </c>
      <c r="G55" s="596">
        <v>0</v>
      </c>
      <c r="H55" s="134">
        <v>0</v>
      </c>
      <c r="I55" s="134">
        <v>0</v>
      </c>
      <c r="J55" s="263"/>
      <c r="K55" s="264">
        <v>0</v>
      </c>
      <c r="L55" s="264">
        <v>0</v>
      </c>
      <c r="M55" s="264">
        <v>0</v>
      </c>
      <c r="N55" s="90">
        <f t="shared" si="5"/>
        <v>0</v>
      </c>
      <c r="O55" s="90">
        <f t="shared" si="10"/>
        <v>0</v>
      </c>
      <c r="P55" s="90">
        <f t="shared" si="11"/>
        <v>0</v>
      </c>
      <c r="Q55" s="263" t="s">
        <v>1489</v>
      </c>
      <c r="R55" s="263"/>
      <c r="S55" s="263"/>
      <c r="T55" s="263"/>
      <c r="U55" s="263"/>
      <c r="V55" s="264">
        <v>0</v>
      </c>
      <c r="W55" s="264">
        <v>0</v>
      </c>
      <c r="X55" s="264">
        <v>0</v>
      </c>
      <c r="Y55" s="90">
        <f t="shared" si="7"/>
        <v>0</v>
      </c>
      <c r="Z55" s="90">
        <f t="shared" si="8"/>
        <v>0</v>
      </c>
      <c r="AA55" s="90">
        <f t="shared" si="9"/>
        <v>0</v>
      </c>
    </row>
    <row r="56" spans="2:27" x14ac:dyDescent="0.25">
      <c r="B56" s="263" t="s">
        <v>1486</v>
      </c>
      <c r="C56" s="263"/>
      <c r="D56" s="134">
        <v>26.83104561795853</v>
      </c>
      <c r="E56" s="134">
        <v>29.264402264350906</v>
      </c>
      <c r="F56" s="22">
        <f t="shared" si="4"/>
        <v>8.3150738033580973E-2</v>
      </c>
      <c r="G56" s="596">
        <v>11.13640708426307</v>
      </c>
      <c r="H56" s="134">
        <v>22.472854358390482</v>
      </c>
      <c r="I56" s="134">
        <v>82.191325249287189</v>
      </c>
      <c r="J56" s="263"/>
      <c r="K56" s="264">
        <v>6833.9441875744506</v>
      </c>
      <c r="L56" s="264">
        <v>8917.3050216674455</v>
      </c>
      <c r="M56" s="264">
        <v>14515.805189710931</v>
      </c>
      <c r="N56" s="90">
        <f t="shared" si="5"/>
        <v>7.2018105077680916</v>
      </c>
      <c r="O56" s="90">
        <f t="shared" si="10"/>
        <v>7.8706918960926355</v>
      </c>
      <c r="P56" s="90">
        <f t="shared" si="11"/>
        <v>11.028428587163777</v>
      </c>
      <c r="Q56" s="263" t="s">
        <v>523</v>
      </c>
      <c r="R56" s="263"/>
      <c r="S56" s="263"/>
      <c r="T56" s="263"/>
      <c r="U56" s="263"/>
      <c r="V56" s="264">
        <v>7575.4969901634504</v>
      </c>
      <c r="W56" s="264">
        <v>9403.1971455477014</v>
      </c>
      <c r="X56" s="264">
        <v>17805.40703979932</v>
      </c>
      <c r="Y56" s="90">
        <f t="shared" si="7"/>
        <v>7.9832805665169602</v>
      </c>
      <c r="Z56" s="90">
        <f t="shared" si="8"/>
        <v>8.2995554588514757</v>
      </c>
      <c r="AA56" s="90">
        <f t="shared" si="9"/>
        <v>13.527713925438828</v>
      </c>
    </row>
    <row r="57" spans="2:27" x14ac:dyDescent="0.25">
      <c r="B57" s="263" t="s">
        <v>680</v>
      </c>
      <c r="C57" s="263"/>
      <c r="D57" s="136">
        <v>27.044249011361739</v>
      </c>
      <c r="E57" s="136">
        <v>28.577679531219534</v>
      </c>
      <c r="F57" s="137">
        <f t="shared" si="4"/>
        <v>5.3658328633107044E-2</v>
      </c>
      <c r="G57" s="596">
        <v>58.911465110422014</v>
      </c>
      <c r="H57" s="134">
        <v>61.414751348938239</v>
      </c>
      <c r="I57" s="134">
        <v>43.123165980430663</v>
      </c>
      <c r="J57" s="263"/>
      <c r="K57" s="264">
        <v>13363.074390990141</v>
      </c>
      <c r="L57" s="264">
        <v>14693.23024124278</v>
      </c>
      <c r="M57" s="264">
        <v>19975.720963446896</v>
      </c>
      <c r="N57" s="90">
        <f t="shared" si="5"/>
        <v>14.082399112960426</v>
      </c>
      <c r="O57" s="90">
        <f t="shared" si="10"/>
        <v>12.968703874788863</v>
      </c>
      <c r="P57" s="90">
        <f t="shared" si="11"/>
        <v>15.176616745906575</v>
      </c>
      <c r="Q57" s="263" t="s">
        <v>522</v>
      </c>
      <c r="R57" s="263"/>
      <c r="S57" s="263"/>
      <c r="T57" s="263"/>
      <c r="U57" s="263"/>
      <c r="V57" s="264">
        <v>24538.511359706299</v>
      </c>
      <c r="W57" s="264">
        <v>25576.5393614528</v>
      </c>
      <c r="X57" s="264">
        <v>34856.037837082338</v>
      </c>
      <c r="Y57" s="90">
        <f t="shared" si="7"/>
        <v>25.859401848296717</v>
      </c>
      <c r="Z57" s="90">
        <f t="shared" si="8"/>
        <v>22.574652385798835</v>
      </c>
      <c r="AA57" s="90">
        <f t="shared" si="9"/>
        <v>26.481984229866605</v>
      </c>
    </row>
    <row r="58" spans="2:27" x14ac:dyDescent="0.25">
      <c r="B58" s="263" t="s">
        <v>1490</v>
      </c>
      <c r="C58" s="263"/>
      <c r="D58" s="134">
        <v>14.23560944931576</v>
      </c>
      <c r="E58" s="134">
        <v>15.418226345915862</v>
      </c>
      <c r="F58" s="22">
        <f t="shared" si="4"/>
        <v>7.6702525314357284E-2</v>
      </c>
      <c r="G58" s="596">
        <v>0.17130000000000001</v>
      </c>
      <c r="H58" s="134">
        <v>188.99565206977348</v>
      </c>
      <c r="I58" s="134">
        <v>28.581622709385471</v>
      </c>
      <c r="J58" s="263"/>
      <c r="K58" s="264">
        <v>0</v>
      </c>
      <c r="L58" s="264">
        <v>0</v>
      </c>
      <c r="M58" s="264">
        <v>0</v>
      </c>
      <c r="N58" s="90">
        <f t="shared" si="5"/>
        <v>0</v>
      </c>
      <c r="O58" s="90">
        <f t="shared" si="10"/>
        <v>0</v>
      </c>
      <c r="P58" s="90">
        <f t="shared" si="11"/>
        <v>0</v>
      </c>
      <c r="Q58" s="263" t="s">
        <v>1487</v>
      </c>
      <c r="R58" s="263"/>
      <c r="S58" s="263"/>
      <c r="T58" s="263"/>
      <c r="U58" s="263"/>
      <c r="V58" s="264">
        <v>0</v>
      </c>
      <c r="W58" s="264">
        <v>0</v>
      </c>
      <c r="X58" s="264">
        <v>0</v>
      </c>
      <c r="Y58" s="90">
        <f t="shared" si="7"/>
        <v>0</v>
      </c>
      <c r="Z58" s="90">
        <f t="shared" si="8"/>
        <v>0</v>
      </c>
      <c r="AA58" s="90">
        <f t="shared" si="9"/>
        <v>0</v>
      </c>
    </row>
    <row r="59" spans="2:27" x14ac:dyDescent="0.25">
      <c r="B59" s="263" t="s">
        <v>1491</v>
      </c>
      <c r="C59" s="263"/>
      <c r="D59" s="136">
        <v>12.465964953663811</v>
      </c>
      <c r="E59" s="136">
        <v>21.868180149805948</v>
      </c>
      <c r="F59" s="137">
        <f t="shared" si="4"/>
        <v>0.42994959487863782</v>
      </c>
      <c r="G59" s="596">
        <v>1.2582279855000029</v>
      </c>
      <c r="H59" s="134">
        <v>28.376644054782599</v>
      </c>
      <c r="I59" s="134">
        <v>27.634963255423799</v>
      </c>
      <c r="J59" s="263"/>
      <c r="K59" s="264">
        <v>0</v>
      </c>
      <c r="L59" s="264">
        <v>71.956720000000004</v>
      </c>
      <c r="M59" s="264">
        <v>753.46424999999999</v>
      </c>
      <c r="N59" s="90">
        <f t="shared" si="5"/>
        <v>0</v>
      </c>
      <c r="O59" s="90">
        <f t="shared" si="10"/>
        <v>6.3511248252390198E-2</v>
      </c>
      <c r="P59" s="90">
        <f t="shared" si="11"/>
        <v>0.57244683057580981</v>
      </c>
      <c r="Q59" s="263" t="s">
        <v>1488</v>
      </c>
      <c r="R59" s="263"/>
      <c r="S59" s="263"/>
      <c r="T59" s="263"/>
      <c r="U59" s="263"/>
      <c r="V59" s="264">
        <v>0</v>
      </c>
      <c r="W59" s="264">
        <v>98.122799999999998</v>
      </c>
      <c r="X59" s="264">
        <v>1027.4512500000001</v>
      </c>
      <c r="Y59" s="90">
        <f t="shared" si="7"/>
        <v>0</v>
      </c>
      <c r="Z59" s="90">
        <f t="shared" si="8"/>
        <v>8.6606247616895754E-2</v>
      </c>
      <c r="AA59" s="90">
        <f t="shared" si="9"/>
        <v>0.78060931442155812</v>
      </c>
    </row>
    <row r="60" spans="2:27" x14ac:dyDescent="0.25">
      <c r="B60" s="263"/>
      <c r="C60" s="263"/>
      <c r="D60" s="263"/>
      <c r="E60" s="263"/>
      <c r="F60" s="263"/>
      <c r="G60" s="596">
        <v>0.41940932850000018</v>
      </c>
      <c r="H60" s="134">
        <v>301.25990183188486</v>
      </c>
      <c r="I60" s="134">
        <v>181.53107719452711</v>
      </c>
      <c r="J60" s="263"/>
      <c r="K60" s="264">
        <v>0</v>
      </c>
      <c r="L60" s="264">
        <v>58.873679999999993</v>
      </c>
      <c r="M60" s="264">
        <v>616.47074999999995</v>
      </c>
      <c r="N60" s="90">
        <f t="shared" si="5"/>
        <v>0</v>
      </c>
      <c r="O60" s="90">
        <f t="shared" si="10"/>
        <v>5.196374857013742E-2</v>
      </c>
      <c r="P60" s="90">
        <f t="shared" si="11"/>
        <v>0.46836558865293521</v>
      </c>
      <c r="Q60" s="263" t="s">
        <v>1489</v>
      </c>
      <c r="R60" s="263"/>
      <c r="S60" s="263"/>
      <c r="T60" s="263"/>
      <c r="U60" s="263"/>
      <c r="V60" s="264">
        <v>0</v>
      </c>
      <c r="W60" s="264">
        <v>32.707599999999999</v>
      </c>
      <c r="X60" s="264">
        <v>342.48374999999999</v>
      </c>
      <c r="Y60" s="90">
        <f t="shared" si="7"/>
        <v>0</v>
      </c>
      <c r="Z60" s="90">
        <f t="shared" si="8"/>
        <v>2.8868749205631917E-2</v>
      </c>
      <c r="AA60" s="90">
        <f t="shared" si="9"/>
        <v>0.260203104807186</v>
      </c>
    </row>
    <row r="61" spans="2:27" x14ac:dyDescent="0.25">
      <c r="B61" s="263"/>
      <c r="C61" s="263"/>
      <c r="D61" s="263"/>
      <c r="E61" s="263"/>
      <c r="F61" s="263"/>
      <c r="G61" s="596">
        <v>32.618489081669523</v>
      </c>
      <c r="H61" s="263"/>
      <c r="I61" s="263"/>
      <c r="J61" s="263"/>
      <c r="K61" s="264">
        <v>7111.9454060195803</v>
      </c>
      <c r="L61" s="264">
        <v>8274.2668461526719</v>
      </c>
      <c r="M61" s="264">
        <v>20044.122297336224</v>
      </c>
      <c r="N61" s="90">
        <f t="shared" si="5"/>
        <v>7.4947763326588976</v>
      </c>
      <c r="O61" s="90">
        <f t="shared" si="10"/>
        <v>7.3031263205510752</v>
      </c>
      <c r="P61" s="90">
        <f t="shared" si="11"/>
        <v>15.228584874178226</v>
      </c>
      <c r="Q61" s="263" t="s">
        <v>1486</v>
      </c>
      <c r="R61" s="263"/>
      <c r="S61" s="263"/>
      <c r="T61" s="263"/>
      <c r="U61" s="263"/>
      <c r="V61" s="264">
        <v>11291.398854411929</v>
      </c>
      <c r="W61" s="264">
        <v>13165.470535260007</v>
      </c>
      <c r="X61" s="264">
        <v>29686.886482190879</v>
      </c>
      <c r="Y61" s="90">
        <f t="shared" si="7"/>
        <v>11.899206766271012</v>
      </c>
      <c r="Z61" s="90">
        <f t="shared" si="8"/>
        <v>11.620255446946818</v>
      </c>
      <c r="AA61" s="90">
        <f t="shared" si="9"/>
        <v>22.554705251634704</v>
      </c>
    </row>
    <row r="62" spans="2:27" x14ac:dyDescent="0.25">
      <c r="B62" s="263"/>
      <c r="C62" s="263"/>
      <c r="D62" s="263"/>
      <c r="E62" s="263"/>
      <c r="F62" s="263"/>
      <c r="G62" s="596">
        <v>2.5977596155329672</v>
      </c>
      <c r="H62" s="263"/>
      <c r="I62" s="263"/>
      <c r="J62" s="263"/>
      <c r="K62" s="264">
        <v>4652.3675502679698</v>
      </c>
      <c r="L62" s="264">
        <v>4552.204608531074</v>
      </c>
      <c r="M62" s="264">
        <v>6924.544341519294</v>
      </c>
      <c r="N62" s="90">
        <f t="shared" si="5"/>
        <v>4.9028011628247068</v>
      </c>
      <c r="O62" s="90">
        <f t="shared" si="10"/>
        <v>4.0179179510696397</v>
      </c>
      <c r="P62" s="90">
        <f t="shared" si="11"/>
        <v>5.2609443135283165</v>
      </c>
      <c r="Q62" s="263" t="s">
        <v>680</v>
      </c>
      <c r="R62" s="263"/>
      <c r="S62" s="263"/>
      <c r="T62" s="263"/>
      <c r="U62" s="263"/>
      <c r="V62" s="264">
        <v>7650.5100299340993</v>
      </c>
      <c r="W62" s="264">
        <v>7667.977535340915</v>
      </c>
      <c r="X62" s="264">
        <v>9919.655177372817</v>
      </c>
      <c r="Y62" s="90">
        <f t="shared" si="7"/>
        <v>8.0623315044836659</v>
      </c>
      <c r="Z62" s="90">
        <f t="shared" si="8"/>
        <v>6.7679964406491591</v>
      </c>
      <c r="AA62" s="90">
        <f t="shared" si="9"/>
        <v>7.5364891787393837</v>
      </c>
    </row>
    <row r="63" spans="2:27" x14ac:dyDescent="0.25">
      <c r="B63" s="263"/>
      <c r="C63" s="263"/>
      <c r="D63" s="263"/>
      <c r="E63" s="263"/>
      <c r="F63" s="263"/>
      <c r="G63" s="596">
        <v>17.848190124355298</v>
      </c>
      <c r="H63" s="263"/>
      <c r="I63" s="263"/>
      <c r="J63" s="263"/>
      <c r="K63" s="264">
        <v>0</v>
      </c>
      <c r="L63" s="264">
        <v>0</v>
      </c>
      <c r="M63" s="264">
        <v>0</v>
      </c>
      <c r="N63" s="90">
        <f t="shared" si="5"/>
        <v>0</v>
      </c>
      <c r="O63" s="90">
        <f t="shared" si="10"/>
        <v>0</v>
      </c>
      <c r="P63" s="90">
        <f t="shared" si="11"/>
        <v>0</v>
      </c>
      <c r="Q63" s="263" t="s">
        <v>1490</v>
      </c>
      <c r="R63" s="263"/>
      <c r="S63" s="263"/>
      <c r="T63" s="263"/>
      <c r="U63" s="263"/>
      <c r="V63" s="264">
        <v>0</v>
      </c>
      <c r="W63" s="264">
        <v>0</v>
      </c>
      <c r="X63" s="264">
        <v>0</v>
      </c>
      <c r="Y63" s="90">
        <f t="shared" si="7"/>
        <v>0</v>
      </c>
      <c r="Z63" s="90">
        <f t="shared" si="8"/>
        <v>0</v>
      </c>
      <c r="AA63" s="90">
        <f t="shared" si="9"/>
        <v>0</v>
      </c>
    </row>
    <row r="64" spans="2:27" x14ac:dyDescent="0.25">
      <c r="B64" s="263"/>
      <c r="C64" s="263"/>
      <c r="D64" s="263"/>
      <c r="E64" s="263"/>
      <c r="F64" s="263"/>
      <c r="G64" s="596">
        <v>18.832370687127298</v>
      </c>
      <c r="H64" s="263"/>
      <c r="I64" s="263"/>
      <c r="J64" s="263"/>
      <c r="K64" s="264">
        <v>8432.7056222770407</v>
      </c>
      <c r="L64" s="264">
        <v>10914.89420822648</v>
      </c>
      <c r="M64" s="264">
        <v>8892.7945143023098</v>
      </c>
      <c r="N64" s="90">
        <f t="shared" si="5"/>
        <v>8.8866321252449119</v>
      </c>
      <c r="O64" s="90">
        <f t="shared" si="10"/>
        <v>9.6338264960833104</v>
      </c>
      <c r="P64" s="90">
        <f t="shared" si="11"/>
        <v>6.7563285645925539</v>
      </c>
      <c r="Q64" s="263" t="s">
        <v>1491</v>
      </c>
      <c r="R64" s="263"/>
      <c r="S64" s="263"/>
      <c r="T64" s="263"/>
      <c r="U64" s="263"/>
      <c r="V64" s="264">
        <v>13172.099465523721</v>
      </c>
      <c r="W64" s="264">
        <v>14277.118836399581</v>
      </c>
      <c r="X64" s="264">
        <v>14424.83821731796</v>
      </c>
      <c r="Y64" s="90">
        <f t="shared" si="7"/>
        <v>13.881144144058998</v>
      </c>
      <c r="Z64" s="90">
        <f t="shared" si="8"/>
        <v>12.601430953876863</v>
      </c>
      <c r="AA64" s="90">
        <f t="shared" si="9"/>
        <v>10.959316144160088</v>
      </c>
    </row>
    <row r="65" spans="7:27" x14ac:dyDescent="0.25">
      <c r="G65" s="596">
        <v>71.896809508685095</v>
      </c>
      <c r="V65" s="264">
        <v>32114.00834986975</v>
      </c>
      <c r="W65" s="264">
        <v>35110.566907000495</v>
      </c>
      <c r="X65" s="264">
        <v>54031.379876881656</v>
      </c>
      <c r="Y65" s="90">
        <f t="shared" si="7"/>
        <v>33.842682414813673</v>
      </c>
      <c r="Z65" s="90">
        <f t="shared" si="8"/>
        <v>30.989682841472835</v>
      </c>
      <c r="AA65" s="90">
        <f t="shared" si="9"/>
        <v>41.050510574534179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6B1F3-C7FF-4B7F-B2DB-D5219F33D369}">
  <sheetPr>
    <pageSetUpPr fitToPage="1"/>
  </sheetPr>
  <dimension ref="A1:AB251"/>
  <sheetViews>
    <sheetView workbookViewId="0"/>
  </sheetViews>
  <sheetFormatPr defaultRowHeight="15" x14ac:dyDescent="0.25"/>
  <cols>
    <col min="1" max="1" width="28.7109375" customWidth="1"/>
    <col min="2" max="2" width="8.7109375" style="15" hidden="1" customWidth="1"/>
    <col min="3" max="4" width="8.7109375" hidden="1" customWidth="1"/>
    <col min="5" max="5" width="8.7109375" style="15" hidden="1" customWidth="1"/>
    <col min="6" max="7" width="8.7109375" hidden="1" customWidth="1"/>
    <col min="8" max="8" width="8.7109375" style="15" hidden="1" customWidth="1"/>
    <col min="9" max="10" width="8.7109375" hidden="1" customWidth="1"/>
    <col min="11" max="11" width="8.7109375" style="15" hidden="1" customWidth="1"/>
    <col min="12" max="12" width="8.7109375" style="24" hidden="1" customWidth="1"/>
    <col min="13" max="13" width="8.7109375" hidden="1" customWidth="1"/>
    <col min="14" max="14" width="8.7109375" style="15" hidden="1" customWidth="1"/>
    <col min="15" max="15" width="8.7109375" style="24" hidden="1" customWidth="1"/>
    <col min="16" max="16" width="8.7109375" hidden="1" customWidth="1"/>
    <col min="17" max="17" width="8.7109375" style="15" hidden="1" customWidth="1"/>
    <col min="18" max="18" width="8.7109375" style="24" hidden="1" customWidth="1"/>
    <col min="19" max="19" width="8.7109375" hidden="1" customWidth="1"/>
    <col min="20" max="28" width="8.7109375" customWidth="1"/>
  </cols>
  <sheetData>
    <row r="1" spans="1:28" x14ac:dyDescent="0.25">
      <c r="A1" s="23" t="s">
        <v>87</v>
      </c>
      <c r="B1" s="264"/>
      <c r="C1" s="263"/>
      <c r="D1" s="263"/>
      <c r="E1" s="264"/>
      <c r="F1" s="263"/>
      <c r="G1" s="263"/>
      <c r="H1" s="264"/>
      <c r="I1" s="263"/>
      <c r="J1" s="263"/>
      <c r="K1" s="264"/>
      <c r="M1" s="263"/>
      <c r="N1" s="264"/>
      <c r="P1" s="263"/>
      <c r="Q1" s="264"/>
      <c r="S1" s="263"/>
      <c r="T1" s="263"/>
      <c r="U1" s="263"/>
      <c r="V1" s="263"/>
      <c r="W1" s="263"/>
      <c r="X1" s="263"/>
      <c r="Y1" s="263"/>
      <c r="Z1" s="263"/>
      <c r="AA1" s="263"/>
      <c r="AB1" s="263"/>
    </row>
    <row r="2" spans="1:28" ht="27" customHeight="1" x14ac:dyDescent="0.25">
      <c r="A2" s="631" t="s">
        <v>354</v>
      </c>
      <c r="B2" s="631"/>
      <c r="C2" s="631"/>
      <c r="D2" s="631"/>
      <c r="E2" s="631"/>
      <c r="F2" s="631"/>
      <c r="G2" s="631"/>
      <c r="H2" s="631"/>
      <c r="I2" s="631"/>
      <c r="J2" s="631"/>
      <c r="K2" s="391"/>
      <c r="L2" s="391"/>
      <c r="M2" s="391"/>
      <c r="N2" s="263"/>
      <c r="O2" s="263"/>
      <c r="P2" s="263"/>
      <c r="Q2" s="263"/>
      <c r="R2" s="263"/>
      <c r="S2" s="263"/>
      <c r="T2" s="391"/>
      <c r="U2" s="391"/>
      <c r="V2" s="391"/>
      <c r="W2" s="263"/>
      <c r="X2" s="263"/>
      <c r="Y2" s="263"/>
      <c r="Z2" s="263"/>
      <c r="AA2" s="263"/>
      <c r="AB2" s="263"/>
    </row>
    <row r="3" spans="1:28" ht="48" customHeight="1" x14ac:dyDescent="0.25">
      <c r="A3" s="390"/>
      <c r="B3" s="639" t="s">
        <v>355</v>
      </c>
      <c r="C3" s="639"/>
      <c r="D3" s="639"/>
      <c r="E3" s="639"/>
      <c r="F3" s="639"/>
      <c r="G3" s="639"/>
      <c r="H3" s="639"/>
      <c r="I3" s="639"/>
      <c r="J3" s="639"/>
      <c r="K3" s="639" t="s">
        <v>356</v>
      </c>
      <c r="L3" s="639"/>
      <c r="M3" s="639"/>
      <c r="N3" s="639"/>
      <c r="O3" s="639"/>
      <c r="P3" s="639"/>
      <c r="Q3" s="639"/>
      <c r="R3" s="639"/>
      <c r="S3" s="639"/>
      <c r="T3" s="639" t="s">
        <v>357</v>
      </c>
      <c r="U3" s="639"/>
      <c r="V3" s="639"/>
      <c r="W3" s="639"/>
      <c r="X3" s="639"/>
      <c r="Y3" s="639"/>
      <c r="Z3" s="639"/>
      <c r="AA3" s="639"/>
      <c r="AB3" s="639"/>
    </row>
    <row r="4" spans="1:28" ht="51" customHeight="1" thickBot="1" x14ac:dyDescent="0.3">
      <c r="A4" s="25" t="s">
        <v>358</v>
      </c>
      <c r="B4" s="26" t="s">
        <v>92</v>
      </c>
      <c r="C4" s="198" t="s">
        <v>93</v>
      </c>
      <c r="D4" s="198" t="s">
        <v>94</v>
      </c>
      <c r="E4" s="26" t="s">
        <v>95</v>
      </c>
      <c r="F4" s="198" t="s">
        <v>96</v>
      </c>
      <c r="G4" s="198" t="s">
        <v>97</v>
      </c>
      <c r="H4" s="26" t="s">
        <v>98</v>
      </c>
      <c r="I4" s="198" t="s">
        <v>99</v>
      </c>
      <c r="J4" s="198" t="s">
        <v>100</v>
      </c>
      <c r="K4" s="26" t="s">
        <v>92</v>
      </c>
      <c r="L4" s="198" t="s">
        <v>93</v>
      </c>
      <c r="M4" s="198" t="s">
        <v>94</v>
      </c>
      <c r="N4" s="26" t="s">
        <v>95</v>
      </c>
      <c r="O4" s="198" t="s">
        <v>96</v>
      </c>
      <c r="P4" s="198" t="s">
        <v>97</v>
      </c>
      <c r="Q4" s="26" t="s">
        <v>98</v>
      </c>
      <c r="R4" s="198" t="s">
        <v>99</v>
      </c>
      <c r="S4" s="198" t="s">
        <v>100</v>
      </c>
      <c r="T4" s="26" t="s">
        <v>92</v>
      </c>
      <c r="U4" s="198" t="s">
        <v>93</v>
      </c>
      <c r="V4" s="198" t="s">
        <v>94</v>
      </c>
      <c r="W4" s="26" t="s">
        <v>95</v>
      </c>
      <c r="X4" s="198" t="s">
        <v>96</v>
      </c>
      <c r="Y4" s="198" t="s">
        <v>97</v>
      </c>
      <c r="Z4" s="26" t="s">
        <v>98</v>
      </c>
      <c r="AA4" s="198" t="s">
        <v>99</v>
      </c>
      <c r="AB4" s="198" t="s">
        <v>100</v>
      </c>
    </row>
    <row r="5" spans="1:28" ht="24" customHeight="1" thickTop="1" x14ac:dyDescent="0.25">
      <c r="A5" s="27" t="s">
        <v>14</v>
      </c>
      <c r="B5" s="28">
        <v>108</v>
      </c>
      <c r="C5" s="28">
        <v>379</v>
      </c>
      <c r="D5" s="28">
        <v>482</v>
      </c>
      <c r="E5" s="28">
        <v>145</v>
      </c>
      <c r="F5" s="28">
        <v>298</v>
      </c>
      <c r="G5" s="28">
        <v>101</v>
      </c>
      <c r="H5" s="28">
        <v>202</v>
      </c>
      <c r="I5" s="28">
        <v>159</v>
      </c>
      <c r="J5" s="28">
        <v>320</v>
      </c>
      <c r="K5" s="28">
        <v>2241</v>
      </c>
      <c r="L5" s="28">
        <v>8827</v>
      </c>
      <c r="M5" s="28">
        <v>10790</v>
      </c>
      <c r="N5" s="28">
        <v>4236</v>
      </c>
      <c r="O5" s="28">
        <v>9984</v>
      </c>
      <c r="P5" s="28">
        <v>3436</v>
      </c>
      <c r="Q5" s="28">
        <v>6480</v>
      </c>
      <c r="R5" s="28">
        <v>3766</v>
      </c>
      <c r="S5" s="28">
        <v>8966</v>
      </c>
      <c r="T5" s="29">
        <v>48.1</v>
      </c>
      <c r="U5" s="29">
        <v>43</v>
      </c>
      <c r="V5" s="29">
        <v>44.6</v>
      </c>
      <c r="W5" s="30">
        <v>34.299999999999997</v>
      </c>
      <c r="X5" s="30">
        <v>29.8</v>
      </c>
      <c r="Y5" s="30">
        <v>29.4</v>
      </c>
      <c r="Z5" s="30">
        <v>31.1</v>
      </c>
      <c r="AA5" s="30">
        <v>42.3</v>
      </c>
      <c r="AB5" s="30">
        <v>35.700000000000003</v>
      </c>
    </row>
    <row r="6" spans="1:28" ht="24" customHeight="1" x14ac:dyDescent="0.25">
      <c r="A6" s="31" t="s">
        <v>101</v>
      </c>
      <c r="B6" s="32" t="s">
        <v>16</v>
      </c>
      <c r="C6" s="32" t="s">
        <v>16</v>
      </c>
      <c r="D6" s="32" t="s">
        <v>16</v>
      </c>
      <c r="E6" s="32" t="s">
        <v>16</v>
      </c>
      <c r="F6" s="32" t="s">
        <v>16</v>
      </c>
      <c r="G6" s="32" t="s">
        <v>16</v>
      </c>
      <c r="H6" s="32" t="s">
        <v>16</v>
      </c>
      <c r="I6" s="32" t="s">
        <v>16</v>
      </c>
      <c r="J6" s="32" t="s">
        <v>16</v>
      </c>
      <c r="K6" s="32" t="s">
        <v>16</v>
      </c>
      <c r="L6" s="32" t="s">
        <v>16</v>
      </c>
      <c r="M6" s="32" t="s">
        <v>16</v>
      </c>
      <c r="N6" s="32" t="s">
        <v>16</v>
      </c>
      <c r="O6" s="32" t="s">
        <v>16</v>
      </c>
      <c r="P6" s="32" t="s">
        <v>16</v>
      </c>
      <c r="Q6" s="32" t="s">
        <v>16</v>
      </c>
      <c r="R6" s="32" t="s">
        <v>16</v>
      </c>
      <c r="S6" s="32" t="s">
        <v>16</v>
      </c>
      <c r="T6" s="33"/>
      <c r="U6" s="33"/>
      <c r="V6" s="33"/>
      <c r="W6" s="34"/>
      <c r="X6" s="34"/>
      <c r="Y6" s="34"/>
      <c r="Z6" s="34"/>
      <c r="AA6" s="34"/>
      <c r="AB6" s="34"/>
    </row>
    <row r="7" spans="1:28" ht="15" customHeight="1" x14ac:dyDescent="0.25">
      <c r="A7" s="35" t="s">
        <v>102</v>
      </c>
      <c r="B7" s="36" t="s">
        <v>28</v>
      </c>
      <c r="C7" s="36">
        <v>35</v>
      </c>
      <c r="D7" s="36">
        <v>43</v>
      </c>
      <c r="E7" s="36">
        <v>22</v>
      </c>
      <c r="F7" s="36">
        <v>45</v>
      </c>
      <c r="G7" s="36">
        <v>11</v>
      </c>
      <c r="H7" s="36">
        <v>36</v>
      </c>
      <c r="I7" s="36">
        <v>17</v>
      </c>
      <c r="J7" s="36">
        <v>37</v>
      </c>
      <c r="K7" s="36" t="s">
        <v>28</v>
      </c>
      <c r="L7" s="36">
        <v>384</v>
      </c>
      <c r="M7" s="36">
        <v>745</v>
      </c>
      <c r="N7" s="36">
        <v>381</v>
      </c>
      <c r="O7" s="36">
        <v>487</v>
      </c>
      <c r="P7" s="36">
        <v>258</v>
      </c>
      <c r="Q7" s="36">
        <v>521</v>
      </c>
      <c r="R7" s="36">
        <v>327</v>
      </c>
      <c r="S7" s="36">
        <v>560</v>
      </c>
      <c r="T7" s="37" t="s">
        <v>28</v>
      </c>
      <c r="U7" s="37">
        <v>90.5</v>
      </c>
      <c r="V7" s="37">
        <v>57.5</v>
      </c>
      <c r="W7" s="38">
        <v>57.6</v>
      </c>
      <c r="X7" s="38">
        <v>91.6</v>
      </c>
      <c r="Y7" s="38">
        <v>40.799999999999997</v>
      </c>
      <c r="Z7" s="38">
        <v>68.2</v>
      </c>
      <c r="AA7" s="38">
        <v>51.9</v>
      </c>
      <c r="AB7" s="38">
        <v>66.5</v>
      </c>
    </row>
    <row r="8" spans="1:28" ht="15" customHeight="1" x14ac:dyDescent="0.25">
      <c r="A8" s="35" t="s">
        <v>103</v>
      </c>
      <c r="B8" s="36" t="s">
        <v>28</v>
      </c>
      <c r="C8" s="36">
        <v>25</v>
      </c>
      <c r="D8" s="36">
        <v>55</v>
      </c>
      <c r="E8" s="36">
        <v>15</v>
      </c>
      <c r="F8" s="36">
        <v>44</v>
      </c>
      <c r="G8" s="36">
        <v>9</v>
      </c>
      <c r="H8" s="36">
        <v>31</v>
      </c>
      <c r="I8" s="36">
        <v>21</v>
      </c>
      <c r="J8" s="36">
        <v>34</v>
      </c>
      <c r="K8" s="36" t="s">
        <v>28</v>
      </c>
      <c r="L8" s="36">
        <v>449</v>
      </c>
      <c r="M8" s="36">
        <v>931</v>
      </c>
      <c r="N8" s="36">
        <v>447</v>
      </c>
      <c r="O8" s="36">
        <v>587</v>
      </c>
      <c r="P8" s="36">
        <v>292</v>
      </c>
      <c r="Q8" s="36">
        <v>657</v>
      </c>
      <c r="R8" s="36">
        <v>372</v>
      </c>
      <c r="S8" s="36">
        <v>902</v>
      </c>
      <c r="T8" s="37" t="s">
        <v>28</v>
      </c>
      <c r="U8" s="37">
        <v>55.6</v>
      </c>
      <c r="V8" s="37">
        <v>59.5</v>
      </c>
      <c r="W8" s="38">
        <v>34.200000000000003</v>
      </c>
      <c r="X8" s="38">
        <v>74.599999999999994</v>
      </c>
      <c r="Y8" s="38">
        <v>30.6</v>
      </c>
      <c r="Z8" s="38">
        <v>46.7</v>
      </c>
      <c r="AA8" s="38">
        <v>57.1</v>
      </c>
      <c r="AB8" s="38">
        <v>37.799999999999997</v>
      </c>
    </row>
    <row r="9" spans="1:28" ht="15" customHeight="1" x14ac:dyDescent="0.25">
      <c r="A9" s="35" t="s">
        <v>104</v>
      </c>
      <c r="B9" s="36">
        <v>12</v>
      </c>
      <c r="C9" s="36">
        <v>47</v>
      </c>
      <c r="D9" s="36">
        <v>58</v>
      </c>
      <c r="E9" s="36">
        <v>23</v>
      </c>
      <c r="F9" s="36">
        <v>37</v>
      </c>
      <c r="G9" s="36">
        <v>19</v>
      </c>
      <c r="H9" s="36">
        <v>26</v>
      </c>
      <c r="I9" s="36">
        <v>23</v>
      </c>
      <c r="J9" s="36">
        <v>51</v>
      </c>
      <c r="K9" s="36">
        <v>459</v>
      </c>
      <c r="L9" s="36">
        <v>1149</v>
      </c>
      <c r="M9" s="36">
        <v>1530</v>
      </c>
      <c r="N9" s="36">
        <v>656</v>
      </c>
      <c r="O9" s="36">
        <v>1119</v>
      </c>
      <c r="P9" s="36">
        <v>597</v>
      </c>
      <c r="Q9" s="36">
        <v>916</v>
      </c>
      <c r="R9" s="36">
        <v>665</v>
      </c>
      <c r="S9" s="36">
        <v>1733</v>
      </c>
      <c r="T9" s="37">
        <v>25.6</v>
      </c>
      <c r="U9" s="37">
        <v>40.700000000000003</v>
      </c>
      <c r="V9" s="37">
        <v>38</v>
      </c>
      <c r="W9" s="38">
        <v>35.1</v>
      </c>
      <c r="X9" s="38">
        <v>33.1</v>
      </c>
      <c r="Y9" s="38">
        <v>32.4</v>
      </c>
      <c r="Z9" s="38">
        <v>28.6</v>
      </c>
      <c r="AA9" s="38">
        <v>34.700000000000003</v>
      </c>
      <c r="AB9" s="38">
        <v>29.5</v>
      </c>
    </row>
    <row r="10" spans="1:28" ht="15" customHeight="1" x14ac:dyDescent="0.25">
      <c r="A10" s="35" t="s">
        <v>105</v>
      </c>
      <c r="B10" s="36" t="s">
        <v>28</v>
      </c>
      <c r="C10" s="36">
        <v>30</v>
      </c>
      <c r="D10" s="36">
        <v>85</v>
      </c>
      <c r="E10" s="36">
        <v>15</v>
      </c>
      <c r="F10" s="36">
        <v>32</v>
      </c>
      <c r="G10" s="36">
        <v>17</v>
      </c>
      <c r="H10" s="36">
        <v>25</v>
      </c>
      <c r="I10" s="36">
        <v>10</v>
      </c>
      <c r="J10" s="36">
        <v>47</v>
      </c>
      <c r="K10" s="36" t="s">
        <v>28</v>
      </c>
      <c r="L10" s="36">
        <v>830</v>
      </c>
      <c r="M10" s="36">
        <v>1928</v>
      </c>
      <c r="N10" s="36">
        <v>700</v>
      </c>
      <c r="O10" s="36">
        <v>1303</v>
      </c>
      <c r="P10" s="36">
        <v>349</v>
      </c>
      <c r="Q10" s="36">
        <v>987</v>
      </c>
      <c r="R10" s="36">
        <v>312</v>
      </c>
      <c r="S10" s="36">
        <v>1435</v>
      </c>
      <c r="T10" s="37" t="s">
        <v>28</v>
      </c>
      <c r="U10" s="37">
        <v>36.200000000000003</v>
      </c>
      <c r="V10" s="37">
        <v>43.9</v>
      </c>
      <c r="W10" s="38">
        <v>21.8</v>
      </c>
      <c r="X10" s="38">
        <v>24.8</v>
      </c>
      <c r="Y10" s="38">
        <v>48.2</v>
      </c>
      <c r="Z10" s="38">
        <v>25.1</v>
      </c>
      <c r="AA10" s="38">
        <v>30.8</v>
      </c>
      <c r="AB10" s="38">
        <v>33</v>
      </c>
    </row>
    <row r="11" spans="1:28" ht="15" customHeight="1" x14ac:dyDescent="0.25">
      <c r="A11" s="35" t="s">
        <v>106</v>
      </c>
      <c r="B11" s="36">
        <v>14</v>
      </c>
      <c r="C11" s="36">
        <v>71</v>
      </c>
      <c r="D11" s="36">
        <v>73</v>
      </c>
      <c r="E11" s="36">
        <v>26</v>
      </c>
      <c r="F11" s="36">
        <v>46</v>
      </c>
      <c r="G11" s="36" t="s">
        <v>28</v>
      </c>
      <c r="H11" s="36">
        <v>35</v>
      </c>
      <c r="I11" s="36">
        <v>18</v>
      </c>
      <c r="J11" s="36">
        <v>30</v>
      </c>
      <c r="K11" s="36">
        <v>330</v>
      </c>
      <c r="L11" s="36">
        <v>1789</v>
      </c>
      <c r="M11" s="36">
        <v>1485</v>
      </c>
      <c r="N11" s="36">
        <v>696</v>
      </c>
      <c r="O11" s="36">
        <v>1986</v>
      </c>
      <c r="P11" s="36">
        <v>708</v>
      </c>
      <c r="Q11" s="36">
        <v>1310</v>
      </c>
      <c r="R11" s="36">
        <v>536</v>
      </c>
      <c r="S11" s="36">
        <v>1095</v>
      </c>
      <c r="T11" s="37">
        <v>41.9</v>
      </c>
      <c r="U11" s="37">
        <v>39.9</v>
      </c>
      <c r="V11" s="37">
        <v>49.4</v>
      </c>
      <c r="W11" s="38">
        <v>37.799999999999997</v>
      </c>
      <c r="X11" s="38">
        <v>23</v>
      </c>
      <c r="Y11" s="38">
        <v>23.4</v>
      </c>
      <c r="Z11" s="38">
        <v>26.4</v>
      </c>
      <c r="AA11" s="38">
        <v>33.6</v>
      </c>
      <c r="AB11" s="38">
        <v>27.4</v>
      </c>
    </row>
    <row r="12" spans="1:28" ht="15" customHeight="1" x14ac:dyDescent="0.25">
      <c r="A12" s="35" t="s">
        <v>107</v>
      </c>
      <c r="B12" s="36">
        <v>8</v>
      </c>
      <c r="C12" s="36">
        <v>93</v>
      </c>
      <c r="D12" s="36">
        <v>49</v>
      </c>
      <c r="E12" s="36">
        <v>20</v>
      </c>
      <c r="F12" s="36">
        <v>35</v>
      </c>
      <c r="G12" s="36">
        <v>8</v>
      </c>
      <c r="H12" s="36">
        <v>13</v>
      </c>
      <c r="I12" s="36">
        <v>12</v>
      </c>
      <c r="J12" s="36">
        <v>46</v>
      </c>
      <c r="K12" s="36">
        <v>230</v>
      </c>
      <c r="L12" s="36">
        <v>1925</v>
      </c>
      <c r="M12" s="36">
        <v>1344</v>
      </c>
      <c r="N12" s="36">
        <v>522</v>
      </c>
      <c r="O12" s="36">
        <v>2036</v>
      </c>
      <c r="P12" s="36">
        <v>455</v>
      </c>
      <c r="Q12" s="36">
        <v>989</v>
      </c>
      <c r="R12" s="36">
        <v>379</v>
      </c>
      <c r="S12" s="36">
        <v>1536</v>
      </c>
      <c r="T12" s="37">
        <v>35.9</v>
      </c>
      <c r="U12" s="37">
        <v>48.1</v>
      </c>
      <c r="V12" s="37">
        <v>36.6</v>
      </c>
      <c r="W12" s="38">
        <v>38.4</v>
      </c>
      <c r="X12" s="38">
        <v>17.100000000000001</v>
      </c>
      <c r="Y12" s="38">
        <v>17.3</v>
      </c>
      <c r="Z12" s="38">
        <v>13.2</v>
      </c>
      <c r="AA12" s="38">
        <v>30.6</v>
      </c>
      <c r="AB12" s="38">
        <v>29.8</v>
      </c>
    </row>
    <row r="13" spans="1:28" ht="15" customHeight="1" x14ac:dyDescent="0.25">
      <c r="A13" s="35" t="s">
        <v>108</v>
      </c>
      <c r="B13" s="36">
        <v>34</v>
      </c>
      <c r="C13" s="36">
        <v>42</v>
      </c>
      <c r="D13" s="36">
        <v>78</v>
      </c>
      <c r="E13" s="36">
        <v>13</v>
      </c>
      <c r="F13" s="36">
        <v>33</v>
      </c>
      <c r="G13" s="36">
        <v>9</v>
      </c>
      <c r="H13" s="36">
        <v>14</v>
      </c>
      <c r="I13" s="36">
        <v>22</v>
      </c>
      <c r="J13" s="36">
        <v>57</v>
      </c>
      <c r="K13" s="36">
        <v>492</v>
      </c>
      <c r="L13" s="36">
        <v>1225</v>
      </c>
      <c r="M13" s="36">
        <v>1886</v>
      </c>
      <c r="N13" s="36">
        <v>504</v>
      </c>
      <c r="O13" s="36">
        <v>1332</v>
      </c>
      <c r="P13" s="36">
        <v>460</v>
      </c>
      <c r="Q13" s="36">
        <v>586</v>
      </c>
      <c r="R13" s="36">
        <v>684</v>
      </c>
      <c r="S13" s="36">
        <v>1124</v>
      </c>
      <c r="T13" s="37">
        <v>68.2</v>
      </c>
      <c r="U13" s="37">
        <v>34.1</v>
      </c>
      <c r="V13" s="37">
        <v>41.6</v>
      </c>
      <c r="W13" s="38">
        <v>25.8</v>
      </c>
      <c r="X13" s="38">
        <v>24.5</v>
      </c>
      <c r="Y13" s="38">
        <v>20.6</v>
      </c>
      <c r="Z13" s="38">
        <v>24</v>
      </c>
      <c r="AA13" s="38">
        <v>32</v>
      </c>
      <c r="AB13" s="38">
        <v>51</v>
      </c>
    </row>
    <row r="14" spans="1:28" ht="15" customHeight="1" x14ac:dyDescent="0.25">
      <c r="A14" s="35" t="s">
        <v>109</v>
      </c>
      <c r="B14" s="36" t="s">
        <v>28</v>
      </c>
      <c r="C14" s="36">
        <v>37</v>
      </c>
      <c r="D14" s="36">
        <v>40</v>
      </c>
      <c r="E14" s="36" t="s">
        <v>28</v>
      </c>
      <c r="F14" s="36">
        <v>27</v>
      </c>
      <c r="G14" s="36">
        <v>12</v>
      </c>
      <c r="H14" s="36">
        <v>23</v>
      </c>
      <c r="I14" s="36" t="s">
        <v>28</v>
      </c>
      <c r="J14" s="36">
        <v>17</v>
      </c>
      <c r="K14" s="36" t="s">
        <v>28</v>
      </c>
      <c r="L14" s="36">
        <v>1077</v>
      </c>
      <c r="M14" s="36">
        <v>941</v>
      </c>
      <c r="N14" s="36" t="s">
        <v>28</v>
      </c>
      <c r="O14" s="36">
        <v>1134</v>
      </c>
      <c r="P14" s="36" t="s">
        <v>28</v>
      </c>
      <c r="Q14" s="36">
        <v>515</v>
      </c>
      <c r="R14" s="36" t="s">
        <v>28</v>
      </c>
      <c r="S14" s="36">
        <v>581</v>
      </c>
      <c r="T14" s="37" t="s">
        <v>28</v>
      </c>
      <c r="U14" s="37">
        <v>34.299999999999997</v>
      </c>
      <c r="V14" s="37">
        <v>42.1</v>
      </c>
      <c r="W14" s="38" t="s">
        <v>28</v>
      </c>
      <c r="X14" s="38">
        <v>23.8</v>
      </c>
      <c r="Y14" s="38" t="s">
        <v>28</v>
      </c>
      <c r="Z14" s="38">
        <v>44.2</v>
      </c>
      <c r="AA14" s="38" t="s">
        <v>28</v>
      </c>
      <c r="AB14" s="38">
        <v>28.7</v>
      </c>
    </row>
    <row r="15" spans="1:28" ht="24" customHeight="1" x14ac:dyDescent="0.25">
      <c r="A15" s="31" t="s">
        <v>110</v>
      </c>
      <c r="B15" s="32" t="s">
        <v>16</v>
      </c>
      <c r="C15" s="32" t="s">
        <v>16</v>
      </c>
      <c r="D15" s="32" t="s">
        <v>16</v>
      </c>
      <c r="E15" s="32" t="s">
        <v>16</v>
      </c>
      <c r="F15" s="32" t="s">
        <v>16</v>
      </c>
      <c r="G15" s="32" t="s">
        <v>16</v>
      </c>
      <c r="H15" s="32" t="s">
        <v>16</v>
      </c>
      <c r="I15" s="32" t="s">
        <v>16</v>
      </c>
      <c r="J15" s="32" t="s">
        <v>16</v>
      </c>
      <c r="K15" s="32" t="s">
        <v>16</v>
      </c>
      <c r="L15" s="32" t="s">
        <v>16</v>
      </c>
      <c r="M15" s="32" t="s">
        <v>16</v>
      </c>
      <c r="N15" s="32" t="s">
        <v>16</v>
      </c>
      <c r="O15" s="32" t="s">
        <v>16</v>
      </c>
      <c r="P15" s="32" t="s">
        <v>16</v>
      </c>
      <c r="Q15" s="32" t="s">
        <v>16</v>
      </c>
      <c r="R15" s="32" t="s">
        <v>16</v>
      </c>
      <c r="S15" s="32" t="s">
        <v>16</v>
      </c>
      <c r="T15" s="33"/>
      <c r="U15" s="33"/>
      <c r="V15" s="33"/>
      <c r="W15" s="34"/>
      <c r="X15" s="34"/>
      <c r="Y15" s="34"/>
      <c r="Z15" s="34"/>
      <c r="AA15" s="34"/>
      <c r="AB15" s="34"/>
    </row>
    <row r="16" spans="1:28" ht="15" customHeight="1" x14ac:dyDescent="0.25">
      <c r="A16" s="35" t="s">
        <v>111</v>
      </c>
      <c r="B16" s="36" t="s">
        <v>28</v>
      </c>
      <c r="C16" s="36">
        <v>60</v>
      </c>
      <c r="D16" s="36">
        <v>84</v>
      </c>
      <c r="E16" s="36">
        <v>22</v>
      </c>
      <c r="F16" s="36">
        <v>28</v>
      </c>
      <c r="G16" s="36">
        <v>9</v>
      </c>
      <c r="H16" s="36">
        <v>25</v>
      </c>
      <c r="I16" s="36">
        <v>18</v>
      </c>
      <c r="J16" s="36">
        <v>22</v>
      </c>
      <c r="K16" s="36" t="s">
        <v>28</v>
      </c>
      <c r="L16" s="36">
        <v>1247</v>
      </c>
      <c r="M16" s="36">
        <v>1979</v>
      </c>
      <c r="N16" s="36">
        <v>755</v>
      </c>
      <c r="O16" s="36">
        <v>1867</v>
      </c>
      <c r="P16" s="36">
        <v>384</v>
      </c>
      <c r="Q16" s="36">
        <v>1463</v>
      </c>
      <c r="R16" s="36">
        <v>635</v>
      </c>
      <c r="S16" s="36">
        <v>791</v>
      </c>
      <c r="T16" s="37" t="s">
        <v>28</v>
      </c>
      <c r="U16" s="37">
        <v>48.5</v>
      </c>
      <c r="V16" s="37">
        <v>42.5</v>
      </c>
      <c r="W16" s="38">
        <v>29.1</v>
      </c>
      <c r="X16" s="38">
        <v>15.1</v>
      </c>
      <c r="Y16" s="38">
        <v>22.5</v>
      </c>
      <c r="Z16" s="38">
        <v>16.8</v>
      </c>
      <c r="AA16" s="38">
        <v>27.7</v>
      </c>
      <c r="AB16" s="38">
        <v>28.1</v>
      </c>
    </row>
    <row r="17" spans="1:28" x14ac:dyDescent="0.25">
      <c r="A17" s="35" t="s">
        <v>24</v>
      </c>
      <c r="B17" s="36" t="s">
        <v>28</v>
      </c>
      <c r="C17" s="36" t="s">
        <v>28</v>
      </c>
      <c r="D17" s="36" t="s">
        <v>28</v>
      </c>
      <c r="E17" s="36" t="s">
        <v>28</v>
      </c>
      <c r="F17" s="36" t="s">
        <v>28</v>
      </c>
      <c r="G17" s="36" t="s">
        <v>28</v>
      </c>
      <c r="H17" s="36" t="s">
        <v>28</v>
      </c>
      <c r="I17" s="36" t="s">
        <v>28</v>
      </c>
      <c r="J17" s="36" t="s">
        <v>28</v>
      </c>
      <c r="K17" s="36" t="s">
        <v>28</v>
      </c>
      <c r="L17" s="36" t="s">
        <v>28</v>
      </c>
      <c r="M17" s="36" t="s">
        <v>28</v>
      </c>
      <c r="N17" s="36" t="s">
        <v>28</v>
      </c>
      <c r="O17" s="36" t="s">
        <v>28</v>
      </c>
      <c r="P17" s="36" t="s">
        <v>28</v>
      </c>
      <c r="Q17" s="36" t="s">
        <v>28</v>
      </c>
      <c r="R17" s="36" t="s">
        <v>28</v>
      </c>
      <c r="S17" s="36" t="s">
        <v>28</v>
      </c>
      <c r="T17" s="37" t="s">
        <v>28</v>
      </c>
      <c r="U17" s="37" t="s">
        <v>28</v>
      </c>
      <c r="V17" s="37" t="s">
        <v>28</v>
      </c>
      <c r="W17" s="38" t="s">
        <v>28</v>
      </c>
      <c r="X17" s="38" t="s">
        <v>28</v>
      </c>
      <c r="Y17" s="38" t="s">
        <v>28</v>
      </c>
      <c r="Z17" s="38" t="s">
        <v>28</v>
      </c>
      <c r="AA17" s="38" t="s">
        <v>28</v>
      </c>
      <c r="AB17" s="38" t="s">
        <v>28</v>
      </c>
    </row>
    <row r="18" spans="1:28" x14ac:dyDescent="0.25">
      <c r="A18" s="35" t="s">
        <v>29</v>
      </c>
      <c r="B18" s="36" t="s">
        <v>28</v>
      </c>
      <c r="C18" s="36">
        <v>20</v>
      </c>
      <c r="D18" s="36">
        <v>35</v>
      </c>
      <c r="E18" s="36">
        <v>13</v>
      </c>
      <c r="F18" s="36">
        <v>50</v>
      </c>
      <c r="G18" s="36">
        <v>14</v>
      </c>
      <c r="H18" s="36">
        <v>38</v>
      </c>
      <c r="I18" s="36" t="s">
        <v>28</v>
      </c>
      <c r="J18" s="36">
        <v>33</v>
      </c>
      <c r="K18" s="36" t="s">
        <v>28</v>
      </c>
      <c r="L18" s="36">
        <v>116</v>
      </c>
      <c r="M18" s="36">
        <v>208</v>
      </c>
      <c r="N18" s="36">
        <v>93</v>
      </c>
      <c r="O18" s="36">
        <v>296</v>
      </c>
      <c r="P18" s="36">
        <v>96</v>
      </c>
      <c r="Q18" s="36">
        <v>185</v>
      </c>
      <c r="R18" s="36" t="s">
        <v>28</v>
      </c>
      <c r="S18" s="36">
        <v>241</v>
      </c>
      <c r="T18" s="37" t="s">
        <v>28</v>
      </c>
      <c r="U18" s="37">
        <v>169.4</v>
      </c>
      <c r="V18" s="37">
        <v>170.2</v>
      </c>
      <c r="W18" s="38">
        <v>144.9</v>
      </c>
      <c r="X18" s="38">
        <v>170</v>
      </c>
      <c r="Y18" s="38">
        <v>149.80000000000001</v>
      </c>
      <c r="Z18" s="38">
        <v>205.3</v>
      </c>
      <c r="AA18" s="38" t="s">
        <v>28</v>
      </c>
      <c r="AB18" s="38">
        <v>137.6</v>
      </c>
    </row>
    <row r="19" spans="1:28" x14ac:dyDescent="0.25">
      <c r="A19" s="35" t="s">
        <v>34</v>
      </c>
      <c r="B19" s="36" t="s">
        <v>28</v>
      </c>
      <c r="C19" s="36">
        <v>50</v>
      </c>
      <c r="D19" s="36">
        <v>41</v>
      </c>
      <c r="E19" s="36">
        <v>21</v>
      </c>
      <c r="F19" s="36">
        <v>30</v>
      </c>
      <c r="G19" s="36">
        <v>19</v>
      </c>
      <c r="H19" s="36">
        <v>29</v>
      </c>
      <c r="I19" s="36">
        <v>19</v>
      </c>
      <c r="J19" s="36">
        <v>38</v>
      </c>
      <c r="K19" s="36" t="s">
        <v>28</v>
      </c>
      <c r="L19" s="36">
        <v>745</v>
      </c>
      <c r="M19" s="36">
        <v>460</v>
      </c>
      <c r="N19" s="36">
        <v>262</v>
      </c>
      <c r="O19" s="36">
        <v>426</v>
      </c>
      <c r="P19" s="36">
        <v>248</v>
      </c>
      <c r="Q19" s="36">
        <v>335</v>
      </c>
      <c r="R19" s="36">
        <v>232</v>
      </c>
      <c r="S19" s="36">
        <v>430</v>
      </c>
      <c r="T19" s="37" t="s">
        <v>28</v>
      </c>
      <c r="U19" s="37">
        <v>66.8</v>
      </c>
      <c r="V19" s="37">
        <v>88.4</v>
      </c>
      <c r="W19" s="38">
        <v>80.8</v>
      </c>
      <c r="X19" s="38">
        <v>71.2</v>
      </c>
      <c r="Y19" s="38">
        <v>75.400000000000006</v>
      </c>
      <c r="Z19" s="38">
        <v>85.5</v>
      </c>
      <c r="AA19" s="38">
        <v>83.4</v>
      </c>
      <c r="AB19" s="38">
        <v>87.4</v>
      </c>
    </row>
    <row r="20" spans="1:28" x14ac:dyDescent="0.25">
      <c r="A20" s="39" t="s">
        <v>35</v>
      </c>
      <c r="B20" s="36" t="s">
        <v>28</v>
      </c>
      <c r="C20" s="36">
        <v>36</v>
      </c>
      <c r="D20" s="36">
        <v>36</v>
      </c>
      <c r="E20" s="36" t="s">
        <v>28</v>
      </c>
      <c r="F20" s="36">
        <v>30</v>
      </c>
      <c r="G20" s="36">
        <v>18</v>
      </c>
      <c r="H20" s="36">
        <v>26</v>
      </c>
      <c r="I20" s="36">
        <v>12</v>
      </c>
      <c r="J20" s="36" t="s">
        <v>28</v>
      </c>
      <c r="K20" s="36" t="s">
        <v>28</v>
      </c>
      <c r="L20" s="36">
        <v>337</v>
      </c>
      <c r="M20" s="36">
        <v>306</v>
      </c>
      <c r="N20" s="36" t="s">
        <v>28</v>
      </c>
      <c r="O20" s="36">
        <v>383</v>
      </c>
      <c r="P20" s="36">
        <v>184</v>
      </c>
      <c r="Q20" s="36">
        <v>263</v>
      </c>
      <c r="R20" s="36">
        <v>118</v>
      </c>
      <c r="S20" s="36">
        <v>306</v>
      </c>
      <c r="T20" s="37" t="s">
        <v>28</v>
      </c>
      <c r="U20" s="37">
        <v>106.1</v>
      </c>
      <c r="V20" s="37">
        <v>116.3</v>
      </c>
      <c r="W20" s="38" t="s">
        <v>28</v>
      </c>
      <c r="X20" s="38">
        <v>77.099999999999994</v>
      </c>
      <c r="Y20" s="38">
        <v>95.8</v>
      </c>
      <c r="Z20" s="38">
        <v>99.5</v>
      </c>
      <c r="AA20" s="38">
        <v>102.6</v>
      </c>
      <c r="AB20" s="38">
        <v>111.5</v>
      </c>
    </row>
    <row r="21" spans="1:28" x14ac:dyDescent="0.25">
      <c r="A21" s="39" t="s">
        <v>36</v>
      </c>
      <c r="B21" s="36" t="s">
        <v>28</v>
      </c>
      <c r="C21" s="36">
        <v>14</v>
      </c>
      <c r="D21" s="36">
        <v>5</v>
      </c>
      <c r="E21" s="36" t="s">
        <v>28</v>
      </c>
      <c r="F21" s="36" t="s">
        <v>28</v>
      </c>
      <c r="G21" s="36" t="s">
        <v>28</v>
      </c>
      <c r="H21" s="36" t="s">
        <v>28</v>
      </c>
      <c r="I21" s="36" t="s">
        <v>28</v>
      </c>
      <c r="J21" s="36">
        <v>4</v>
      </c>
      <c r="K21" s="36" t="s">
        <v>28</v>
      </c>
      <c r="L21" s="36">
        <v>407</v>
      </c>
      <c r="M21" s="36">
        <v>154</v>
      </c>
      <c r="N21" s="36" t="s">
        <v>28</v>
      </c>
      <c r="O21" s="36" t="s">
        <v>28</v>
      </c>
      <c r="P21" s="36" t="s">
        <v>28</v>
      </c>
      <c r="Q21" s="36" t="s">
        <v>28</v>
      </c>
      <c r="R21" s="36" t="s">
        <v>28</v>
      </c>
      <c r="S21" s="36">
        <v>124</v>
      </c>
      <c r="T21" s="37" t="s">
        <v>28</v>
      </c>
      <c r="U21" s="37">
        <v>34.200000000000003</v>
      </c>
      <c r="V21" s="37">
        <v>33.200000000000003</v>
      </c>
      <c r="W21" s="38" t="s">
        <v>28</v>
      </c>
      <c r="X21" s="38" t="s">
        <v>28</v>
      </c>
      <c r="Y21" s="38" t="s">
        <v>28</v>
      </c>
      <c r="Z21" s="38" t="s">
        <v>28</v>
      </c>
      <c r="AA21" s="38" t="s">
        <v>28</v>
      </c>
      <c r="AB21" s="38">
        <v>28.2</v>
      </c>
    </row>
    <row r="22" spans="1:28" x14ac:dyDescent="0.25">
      <c r="A22" s="35" t="s">
        <v>39</v>
      </c>
      <c r="B22" s="36" t="s">
        <v>28</v>
      </c>
      <c r="C22" s="36">
        <v>28</v>
      </c>
      <c r="D22" s="36">
        <v>32</v>
      </c>
      <c r="E22" s="36">
        <v>9</v>
      </c>
      <c r="F22" s="36">
        <v>33</v>
      </c>
      <c r="G22" s="36" t="s">
        <v>28</v>
      </c>
      <c r="H22" s="36">
        <v>16</v>
      </c>
      <c r="I22" s="36" t="s">
        <v>28</v>
      </c>
      <c r="J22" s="36">
        <v>32</v>
      </c>
      <c r="K22" s="36" t="s">
        <v>28</v>
      </c>
      <c r="L22" s="36">
        <v>681</v>
      </c>
      <c r="M22" s="36">
        <v>620</v>
      </c>
      <c r="N22" s="36">
        <v>218</v>
      </c>
      <c r="O22" s="36">
        <v>1023</v>
      </c>
      <c r="P22" s="36" t="s">
        <v>28</v>
      </c>
      <c r="Q22" s="36">
        <v>535</v>
      </c>
      <c r="R22" s="36">
        <v>503</v>
      </c>
      <c r="S22" s="36">
        <v>810</v>
      </c>
      <c r="T22" s="37" t="s">
        <v>28</v>
      </c>
      <c r="U22" s="37">
        <v>41</v>
      </c>
      <c r="V22" s="37">
        <v>51.5</v>
      </c>
      <c r="W22" s="38">
        <v>43</v>
      </c>
      <c r="X22" s="38">
        <v>31.9</v>
      </c>
      <c r="Y22" s="38">
        <v>40.4</v>
      </c>
      <c r="Z22" s="38">
        <v>29.6</v>
      </c>
      <c r="AA22" s="38">
        <v>83.2</v>
      </c>
      <c r="AB22" s="38">
        <v>39.5</v>
      </c>
    </row>
    <row r="23" spans="1:28" x14ac:dyDescent="0.25">
      <c r="A23" s="35" t="s">
        <v>45</v>
      </c>
      <c r="B23" s="36" t="s">
        <v>28</v>
      </c>
      <c r="C23" s="36">
        <v>43</v>
      </c>
      <c r="D23" s="36">
        <v>68</v>
      </c>
      <c r="E23" s="36">
        <v>12</v>
      </c>
      <c r="F23" s="36">
        <v>44</v>
      </c>
      <c r="G23" s="36">
        <v>10</v>
      </c>
      <c r="H23" s="36">
        <v>24</v>
      </c>
      <c r="I23" s="36">
        <v>14</v>
      </c>
      <c r="J23" s="36">
        <v>61</v>
      </c>
      <c r="K23" s="36" t="s">
        <v>28</v>
      </c>
      <c r="L23" s="36">
        <v>1000</v>
      </c>
      <c r="M23" s="36">
        <v>1429</v>
      </c>
      <c r="N23" s="36">
        <v>424</v>
      </c>
      <c r="O23" s="36">
        <v>1628</v>
      </c>
      <c r="P23" s="36">
        <v>523</v>
      </c>
      <c r="Q23" s="36">
        <v>805</v>
      </c>
      <c r="R23" s="36">
        <v>606</v>
      </c>
      <c r="S23" s="36">
        <v>1788</v>
      </c>
      <c r="T23" s="37" t="s">
        <v>28</v>
      </c>
      <c r="U23" s="37">
        <v>43.3</v>
      </c>
      <c r="V23" s="37">
        <v>47.4</v>
      </c>
      <c r="W23" s="38">
        <v>28.1</v>
      </c>
      <c r="X23" s="38">
        <v>27</v>
      </c>
      <c r="Y23" s="38">
        <v>18.2</v>
      </c>
      <c r="Z23" s="38">
        <v>29.4</v>
      </c>
      <c r="AA23" s="38">
        <v>23.8</v>
      </c>
      <c r="AB23" s="38">
        <v>34</v>
      </c>
    </row>
    <row r="24" spans="1:28" ht="15" customHeight="1" x14ac:dyDescent="0.25">
      <c r="A24" s="39" t="s">
        <v>112</v>
      </c>
      <c r="B24" s="36" t="s">
        <v>28</v>
      </c>
      <c r="C24" s="36">
        <v>12</v>
      </c>
      <c r="D24" s="36">
        <v>26</v>
      </c>
      <c r="E24" s="36">
        <v>4</v>
      </c>
      <c r="F24" s="36">
        <v>7</v>
      </c>
      <c r="G24" s="36" t="s">
        <v>28</v>
      </c>
      <c r="H24" s="36">
        <v>5</v>
      </c>
      <c r="I24" s="36" t="s">
        <v>28</v>
      </c>
      <c r="J24" s="36">
        <v>11</v>
      </c>
      <c r="K24" s="36" t="s">
        <v>28</v>
      </c>
      <c r="L24" s="36">
        <v>495</v>
      </c>
      <c r="M24" s="36">
        <v>689</v>
      </c>
      <c r="N24" s="36">
        <v>180</v>
      </c>
      <c r="O24" s="36">
        <v>365</v>
      </c>
      <c r="P24" s="36" t="s">
        <v>28</v>
      </c>
      <c r="Q24" s="36">
        <v>355</v>
      </c>
      <c r="R24" s="36" t="s">
        <v>28</v>
      </c>
      <c r="S24" s="36">
        <v>806</v>
      </c>
      <c r="T24" s="37" t="s">
        <v>28</v>
      </c>
      <c r="U24" s="37">
        <v>25.2</v>
      </c>
      <c r="V24" s="37">
        <v>37.299999999999997</v>
      </c>
      <c r="W24" s="38">
        <v>21</v>
      </c>
      <c r="X24" s="38">
        <v>19.600000000000001</v>
      </c>
      <c r="Y24" s="38" t="s">
        <v>28</v>
      </c>
      <c r="Z24" s="38">
        <v>13.6</v>
      </c>
      <c r="AA24" s="38" t="s">
        <v>28</v>
      </c>
      <c r="AB24" s="38">
        <v>13.2</v>
      </c>
    </row>
    <row r="25" spans="1:28" ht="15" customHeight="1" x14ac:dyDescent="0.25">
      <c r="A25" s="39" t="s">
        <v>113</v>
      </c>
      <c r="B25" s="36" t="s">
        <v>28</v>
      </c>
      <c r="C25" s="36">
        <v>31</v>
      </c>
      <c r="D25" s="36">
        <v>42</v>
      </c>
      <c r="E25" s="36" t="s">
        <v>28</v>
      </c>
      <c r="F25" s="36">
        <v>37</v>
      </c>
      <c r="G25" s="36" t="s">
        <v>28</v>
      </c>
      <c r="H25" s="36">
        <v>19</v>
      </c>
      <c r="I25" s="36">
        <v>9</v>
      </c>
      <c r="J25" s="36">
        <v>50</v>
      </c>
      <c r="K25" s="36" t="s">
        <v>28</v>
      </c>
      <c r="L25" s="36">
        <v>505</v>
      </c>
      <c r="M25" s="36">
        <v>740</v>
      </c>
      <c r="N25" s="36" t="s">
        <v>28</v>
      </c>
      <c r="O25" s="36">
        <v>1263</v>
      </c>
      <c r="P25" s="36" t="s">
        <v>28</v>
      </c>
      <c r="Q25" s="36">
        <v>450</v>
      </c>
      <c r="R25" s="36">
        <v>351</v>
      </c>
      <c r="S25" s="36">
        <v>983</v>
      </c>
      <c r="T25" s="37" t="s">
        <v>28</v>
      </c>
      <c r="U25" s="37">
        <v>61</v>
      </c>
      <c r="V25" s="37">
        <v>56.7</v>
      </c>
      <c r="W25" s="38" t="s">
        <v>28</v>
      </c>
      <c r="X25" s="38">
        <v>29.1</v>
      </c>
      <c r="Y25" s="38" t="s">
        <v>28</v>
      </c>
      <c r="Z25" s="38">
        <v>41.8</v>
      </c>
      <c r="AA25" s="38">
        <v>25.6</v>
      </c>
      <c r="AB25" s="38">
        <v>51.1</v>
      </c>
    </row>
    <row r="26" spans="1:28" ht="15" customHeight="1" x14ac:dyDescent="0.25">
      <c r="A26" s="35" t="s">
        <v>53</v>
      </c>
      <c r="B26" s="36">
        <v>11</v>
      </c>
      <c r="C26" s="36">
        <v>82</v>
      </c>
      <c r="D26" s="36">
        <v>68</v>
      </c>
      <c r="E26" s="36">
        <v>16</v>
      </c>
      <c r="F26" s="36">
        <v>22</v>
      </c>
      <c r="G26" s="36">
        <v>10</v>
      </c>
      <c r="H26" s="36">
        <v>15</v>
      </c>
      <c r="I26" s="36">
        <v>18</v>
      </c>
      <c r="J26" s="36">
        <v>34</v>
      </c>
      <c r="K26" s="36">
        <v>399</v>
      </c>
      <c r="L26" s="36">
        <v>2304</v>
      </c>
      <c r="M26" s="36">
        <v>1969</v>
      </c>
      <c r="N26" s="36">
        <v>566</v>
      </c>
      <c r="O26" s="36">
        <v>1427</v>
      </c>
      <c r="P26" s="36">
        <v>388</v>
      </c>
      <c r="Q26" s="36">
        <v>904</v>
      </c>
      <c r="R26" s="36">
        <v>616</v>
      </c>
      <c r="S26" s="36">
        <v>1716</v>
      </c>
      <c r="T26" s="37">
        <v>28.1</v>
      </c>
      <c r="U26" s="37">
        <v>35.4</v>
      </c>
      <c r="V26" s="37">
        <v>34.6</v>
      </c>
      <c r="W26" s="38">
        <v>28.1</v>
      </c>
      <c r="X26" s="38">
        <v>15.7</v>
      </c>
      <c r="Y26" s="38">
        <v>24.7</v>
      </c>
      <c r="Z26" s="38">
        <v>16.3</v>
      </c>
      <c r="AA26" s="38">
        <v>29.6</v>
      </c>
      <c r="AB26" s="38">
        <v>19.600000000000001</v>
      </c>
    </row>
    <row r="27" spans="1:28" ht="15" customHeight="1" x14ac:dyDescent="0.25">
      <c r="A27" s="35" t="s">
        <v>60</v>
      </c>
      <c r="B27" s="36" t="s">
        <v>28</v>
      </c>
      <c r="C27" s="36">
        <v>22</v>
      </c>
      <c r="D27" s="36">
        <v>42</v>
      </c>
      <c r="E27" s="36">
        <v>12</v>
      </c>
      <c r="F27" s="36">
        <v>11</v>
      </c>
      <c r="G27" s="36" t="s">
        <v>28</v>
      </c>
      <c r="H27" s="36" t="s">
        <v>28</v>
      </c>
      <c r="I27" s="36" t="s">
        <v>28</v>
      </c>
      <c r="J27" s="36">
        <v>15</v>
      </c>
      <c r="K27" s="36" t="s">
        <v>28</v>
      </c>
      <c r="L27" s="36">
        <v>523</v>
      </c>
      <c r="M27" s="36">
        <v>993</v>
      </c>
      <c r="N27" s="36">
        <v>323</v>
      </c>
      <c r="O27" s="36">
        <v>497</v>
      </c>
      <c r="P27" s="36" t="s">
        <v>28</v>
      </c>
      <c r="Q27" s="36">
        <v>368</v>
      </c>
      <c r="R27" s="36" t="s">
        <v>28</v>
      </c>
      <c r="S27" s="36">
        <v>593</v>
      </c>
      <c r="T27" s="37" t="s">
        <v>28</v>
      </c>
      <c r="U27" s="37">
        <v>42.4</v>
      </c>
      <c r="V27" s="37">
        <v>41.8</v>
      </c>
      <c r="W27" s="38">
        <v>36.5</v>
      </c>
      <c r="X27" s="38">
        <v>22.2</v>
      </c>
      <c r="Y27" s="38" t="s">
        <v>28</v>
      </c>
      <c r="Z27" s="38" t="s">
        <v>28</v>
      </c>
      <c r="AA27" s="38" t="s">
        <v>28</v>
      </c>
      <c r="AB27" s="38">
        <v>25.9</v>
      </c>
    </row>
    <row r="28" spans="1:28" ht="15" customHeight="1" x14ac:dyDescent="0.25">
      <c r="A28" s="35" t="s">
        <v>66</v>
      </c>
      <c r="B28" s="36" t="s">
        <v>28</v>
      </c>
      <c r="C28" s="36" t="s">
        <v>28</v>
      </c>
      <c r="D28" s="36" t="s">
        <v>28</v>
      </c>
      <c r="E28" s="36" t="s">
        <v>28</v>
      </c>
      <c r="F28" s="36" t="s">
        <v>28</v>
      </c>
      <c r="G28" s="36" t="s">
        <v>28</v>
      </c>
      <c r="H28" s="36" t="s">
        <v>28</v>
      </c>
      <c r="I28" s="36" t="s">
        <v>28</v>
      </c>
      <c r="J28" s="36" t="s">
        <v>28</v>
      </c>
      <c r="K28" s="36" t="s">
        <v>28</v>
      </c>
      <c r="L28" s="36" t="s">
        <v>28</v>
      </c>
      <c r="M28" s="36" t="s">
        <v>28</v>
      </c>
      <c r="N28" s="36" t="s">
        <v>28</v>
      </c>
      <c r="O28" s="36" t="s">
        <v>28</v>
      </c>
      <c r="P28" s="36" t="s">
        <v>28</v>
      </c>
      <c r="Q28" s="36" t="s">
        <v>28</v>
      </c>
      <c r="R28" s="36" t="s">
        <v>28</v>
      </c>
      <c r="S28" s="36" t="s">
        <v>28</v>
      </c>
      <c r="T28" s="37" t="s">
        <v>28</v>
      </c>
      <c r="U28" s="37" t="s">
        <v>28</v>
      </c>
      <c r="V28" s="37" t="s">
        <v>28</v>
      </c>
      <c r="W28" s="38" t="s">
        <v>28</v>
      </c>
      <c r="X28" s="38" t="s">
        <v>28</v>
      </c>
      <c r="Y28" s="38" t="s">
        <v>28</v>
      </c>
      <c r="Z28" s="38" t="s">
        <v>28</v>
      </c>
      <c r="AA28" s="38" t="s">
        <v>28</v>
      </c>
      <c r="AB28" s="38" t="s">
        <v>28</v>
      </c>
    </row>
    <row r="29" spans="1:28" ht="15" customHeight="1" x14ac:dyDescent="0.25">
      <c r="A29" s="35" t="s">
        <v>70</v>
      </c>
      <c r="B29" s="36" t="s">
        <v>28</v>
      </c>
      <c r="C29" s="36">
        <v>15</v>
      </c>
      <c r="D29" s="36">
        <v>21</v>
      </c>
      <c r="E29" s="36">
        <v>6</v>
      </c>
      <c r="F29" s="36" t="s">
        <v>28</v>
      </c>
      <c r="G29" s="36" t="s">
        <v>28</v>
      </c>
      <c r="H29" s="36">
        <v>4</v>
      </c>
      <c r="I29" s="36" t="s">
        <v>28</v>
      </c>
      <c r="J29" s="36" t="s">
        <v>28</v>
      </c>
      <c r="K29" s="36" t="s">
        <v>28</v>
      </c>
      <c r="L29" s="36">
        <v>560</v>
      </c>
      <c r="M29" s="36">
        <v>484</v>
      </c>
      <c r="N29" s="36">
        <v>220</v>
      </c>
      <c r="O29" s="36">
        <v>399</v>
      </c>
      <c r="P29" s="36" t="s">
        <v>28</v>
      </c>
      <c r="Q29" s="36">
        <v>256</v>
      </c>
      <c r="R29" s="36" t="s">
        <v>28</v>
      </c>
      <c r="S29" s="36">
        <v>311</v>
      </c>
      <c r="T29" s="37" t="s">
        <v>28</v>
      </c>
      <c r="U29" s="37">
        <v>26.3</v>
      </c>
      <c r="V29" s="37">
        <v>43.2</v>
      </c>
      <c r="W29" s="38">
        <v>29.3</v>
      </c>
      <c r="X29" s="38">
        <v>32.5</v>
      </c>
      <c r="Y29" s="38" t="s">
        <v>28</v>
      </c>
      <c r="Z29" s="38">
        <v>15.2</v>
      </c>
      <c r="AA29" s="38" t="s">
        <v>28</v>
      </c>
      <c r="AB29" s="38" t="s">
        <v>28</v>
      </c>
    </row>
    <row r="30" spans="1:28" ht="15" customHeight="1" x14ac:dyDescent="0.25">
      <c r="A30" s="35" t="s">
        <v>71</v>
      </c>
      <c r="B30" s="36" t="s">
        <v>28</v>
      </c>
      <c r="C30" s="36">
        <v>17</v>
      </c>
      <c r="D30" s="36">
        <v>34</v>
      </c>
      <c r="E30" s="36">
        <v>13</v>
      </c>
      <c r="F30" s="36">
        <v>24</v>
      </c>
      <c r="G30" s="36" t="s">
        <v>28</v>
      </c>
      <c r="H30" s="36">
        <v>10</v>
      </c>
      <c r="I30" s="36" t="s">
        <v>28</v>
      </c>
      <c r="J30" s="36">
        <v>9</v>
      </c>
      <c r="K30" s="36" t="s">
        <v>28</v>
      </c>
      <c r="L30" s="36">
        <v>222</v>
      </c>
      <c r="M30" s="36">
        <v>803</v>
      </c>
      <c r="N30" s="36">
        <v>420</v>
      </c>
      <c r="O30" s="36">
        <v>407</v>
      </c>
      <c r="P30" s="36" t="s">
        <v>28</v>
      </c>
      <c r="Q30" s="36">
        <v>287</v>
      </c>
      <c r="R30" s="36" t="s">
        <v>28</v>
      </c>
      <c r="S30" s="36">
        <v>271</v>
      </c>
      <c r="T30" s="37" t="s">
        <v>28</v>
      </c>
      <c r="U30" s="37">
        <v>76.8</v>
      </c>
      <c r="V30" s="37">
        <v>41.8</v>
      </c>
      <c r="W30" s="38">
        <v>31.2</v>
      </c>
      <c r="X30" s="38">
        <v>58.9</v>
      </c>
      <c r="Y30" s="38" t="s">
        <v>28</v>
      </c>
      <c r="Z30" s="38">
        <v>36.299999999999997</v>
      </c>
      <c r="AA30" s="38" t="s">
        <v>28</v>
      </c>
      <c r="AB30" s="38">
        <v>33.5</v>
      </c>
    </row>
    <row r="31" spans="1:28" ht="15" customHeight="1" x14ac:dyDescent="0.25">
      <c r="A31" s="35" t="s">
        <v>77</v>
      </c>
      <c r="B31" s="36" t="s">
        <v>28</v>
      </c>
      <c r="C31" s="36">
        <v>17</v>
      </c>
      <c r="D31" s="36">
        <v>29</v>
      </c>
      <c r="E31" s="36">
        <v>8</v>
      </c>
      <c r="F31" s="36">
        <v>16</v>
      </c>
      <c r="G31" s="36" t="s">
        <v>28</v>
      </c>
      <c r="H31" s="36">
        <v>9</v>
      </c>
      <c r="I31" s="36" t="s">
        <v>28</v>
      </c>
      <c r="J31" s="36">
        <v>26</v>
      </c>
      <c r="K31" s="36" t="s">
        <v>28</v>
      </c>
      <c r="L31" s="36">
        <v>949</v>
      </c>
      <c r="M31" s="36">
        <v>1169</v>
      </c>
      <c r="N31" s="36">
        <v>651</v>
      </c>
      <c r="O31" s="36">
        <v>1269</v>
      </c>
      <c r="P31" s="36" t="s">
        <v>28</v>
      </c>
      <c r="Q31" s="36">
        <v>901</v>
      </c>
      <c r="R31" s="36" t="s">
        <v>28</v>
      </c>
      <c r="S31" s="36">
        <v>1143</v>
      </c>
      <c r="T31" s="37" t="s">
        <v>28</v>
      </c>
      <c r="U31" s="37">
        <v>17.899999999999999</v>
      </c>
      <c r="V31" s="37">
        <v>24.7</v>
      </c>
      <c r="W31" s="38">
        <v>12.4</v>
      </c>
      <c r="X31" s="38">
        <v>12.7</v>
      </c>
      <c r="Y31" s="38" t="s">
        <v>28</v>
      </c>
      <c r="Z31" s="38">
        <v>10.199999999999999</v>
      </c>
      <c r="AA31" s="38">
        <v>34.299999999999997</v>
      </c>
      <c r="AB31" s="38">
        <v>22.6</v>
      </c>
    </row>
    <row r="32" spans="1:28" ht="15" customHeight="1" x14ac:dyDescent="0.25">
      <c r="A32" s="35" t="s">
        <v>83</v>
      </c>
      <c r="B32" s="36" t="s">
        <v>28</v>
      </c>
      <c r="C32" s="36" t="s">
        <v>28</v>
      </c>
      <c r="D32" s="36" t="s">
        <v>28</v>
      </c>
      <c r="E32" s="36" t="s">
        <v>28</v>
      </c>
      <c r="F32" s="36" t="s">
        <v>28</v>
      </c>
      <c r="G32" s="36" t="s">
        <v>28</v>
      </c>
      <c r="H32" s="36" t="s">
        <v>28</v>
      </c>
      <c r="I32" s="36" t="s">
        <v>28</v>
      </c>
      <c r="J32" s="36" t="s">
        <v>28</v>
      </c>
      <c r="K32" s="36" t="s">
        <v>28</v>
      </c>
      <c r="L32" s="36" t="s">
        <v>28</v>
      </c>
      <c r="M32" s="36" t="s">
        <v>28</v>
      </c>
      <c r="N32" s="36" t="s">
        <v>28</v>
      </c>
      <c r="O32" s="36" t="s">
        <v>28</v>
      </c>
      <c r="P32" s="36" t="s">
        <v>28</v>
      </c>
      <c r="Q32" s="36" t="s">
        <v>28</v>
      </c>
      <c r="R32" s="36" t="s">
        <v>28</v>
      </c>
      <c r="S32" s="36" t="s">
        <v>28</v>
      </c>
      <c r="T32" s="37" t="s">
        <v>28</v>
      </c>
      <c r="U32" s="37" t="s">
        <v>28</v>
      </c>
      <c r="V32" s="37" t="s">
        <v>28</v>
      </c>
      <c r="W32" s="38" t="s">
        <v>28</v>
      </c>
      <c r="X32" s="38" t="s">
        <v>28</v>
      </c>
      <c r="Y32" s="38" t="s">
        <v>28</v>
      </c>
      <c r="Z32" s="38" t="s">
        <v>28</v>
      </c>
      <c r="AA32" s="38" t="s">
        <v>28</v>
      </c>
      <c r="AB32" s="38" t="s">
        <v>28</v>
      </c>
    </row>
    <row r="33" spans="1:28" ht="15" customHeight="1" x14ac:dyDescent="0.25">
      <c r="A33" s="35" t="s">
        <v>85</v>
      </c>
      <c r="B33" s="36" t="s">
        <v>28</v>
      </c>
      <c r="C33" s="36" t="s">
        <v>28</v>
      </c>
      <c r="D33" s="36" t="s">
        <v>28</v>
      </c>
      <c r="E33" s="36" t="s">
        <v>28</v>
      </c>
      <c r="F33" s="36" t="s">
        <v>28</v>
      </c>
      <c r="G33" s="36" t="s">
        <v>28</v>
      </c>
      <c r="H33" s="36" t="s">
        <v>28</v>
      </c>
      <c r="I33" s="36" t="s">
        <v>28</v>
      </c>
      <c r="J33" s="36" t="s">
        <v>28</v>
      </c>
      <c r="K33" s="36" t="s">
        <v>28</v>
      </c>
      <c r="L33" s="36" t="s">
        <v>28</v>
      </c>
      <c r="M33" s="36" t="s">
        <v>28</v>
      </c>
      <c r="N33" s="36" t="s">
        <v>28</v>
      </c>
      <c r="O33" s="36" t="s">
        <v>28</v>
      </c>
      <c r="P33" s="36" t="s">
        <v>28</v>
      </c>
      <c r="Q33" s="36" t="s">
        <v>28</v>
      </c>
      <c r="R33" s="36" t="s">
        <v>28</v>
      </c>
      <c r="S33" s="36" t="s">
        <v>28</v>
      </c>
      <c r="T33" s="37" t="s">
        <v>28</v>
      </c>
      <c r="U33" s="37" t="s">
        <v>28</v>
      </c>
      <c r="V33" s="37" t="s">
        <v>28</v>
      </c>
      <c r="W33" s="38" t="s">
        <v>28</v>
      </c>
      <c r="X33" s="38" t="s">
        <v>28</v>
      </c>
      <c r="Y33" s="38" t="s">
        <v>28</v>
      </c>
      <c r="Z33" s="38" t="s">
        <v>28</v>
      </c>
      <c r="AA33" s="38" t="s">
        <v>28</v>
      </c>
      <c r="AB33" s="38" t="s">
        <v>28</v>
      </c>
    </row>
    <row r="34" spans="1:28" ht="24" customHeight="1" x14ac:dyDescent="0.25">
      <c r="A34" s="40" t="s">
        <v>114</v>
      </c>
      <c r="B34" s="32" t="s">
        <v>16</v>
      </c>
      <c r="C34" s="32" t="s">
        <v>16</v>
      </c>
      <c r="D34" s="32" t="s">
        <v>16</v>
      </c>
      <c r="E34" s="32" t="s">
        <v>16</v>
      </c>
      <c r="F34" s="32" t="s">
        <v>16</v>
      </c>
      <c r="G34" s="32" t="s">
        <v>16</v>
      </c>
      <c r="H34" s="32" t="s">
        <v>16</v>
      </c>
      <c r="I34" s="32" t="s">
        <v>16</v>
      </c>
      <c r="J34" s="32" t="s">
        <v>16</v>
      </c>
      <c r="K34" s="32" t="s">
        <v>16</v>
      </c>
      <c r="L34" s="32" t="s">
        <v>16</v>
      </c>
      <c r="M34" s="32" t="s">
        <v>16</v>
      </c>
      <c r="N34" s="32" t="s">
        <v>16</v>
      </c>
      <c r="O34" s="32" t="s">
        <v>16</v>
      </c>
      <c r="P34" s="32" t="s">
        <v>16</v>
      </c>
      <c r="Q34" s="32" t="s">
        <v>16</v>
      </c>
      <c r="R34" s="32" t="s">
        <v>16</v>
      </c>
      <c r="S34" s="32" t="s">
        <v>16</v>
      </c>
      <c r="T34" s="33"/>
      <c r="U34" s="33"/>
      <c r="V34" s="33"/>
      <c r="W34" s="34"/>
      <c r="X34" s="34"/>
      <c r="Y34" s="34"/>
      <c r="Z34" s="34"/>
      <c r="AA34" s="34"/>
      <c r="AB34" s="34"/>
    </row>
    <row r="35" spans="1:28" ht="15" customHeight="1" x14ac:dyDescent="0.25">
      <c r="A35" s="35" t="s">
        <v>115</v>
      </c>
      <c r="B35" s="36" t="s">
        <v>28</v>
      </c>
      <c r="C35" s="36">
        <v>17</v>
      </c>
      <c r="D35" s="36">
        <v>22</v>
      </c>
      <c r="E35" s="36">
        <v>5</v>
      </c>
      <c r="F35" s="36">
        <v>9</v>
      </c>
      <c r="G35" s="36" t="s">
        <v>28</v>
      </c>
      <c r="H35" s="36" t="s">
        <v>28</v>
      </c>
      <c r="I35" s="36" t="s">
        <v>28</v>
      </c>
      <c r="J35" s="36" t="s">
        <v>28</v>
      </c>
      <c r="K35" s="36" t="s">
        <v>28</v>
      </c>
      <c r="L35" s="36">
        <v>725</v>
      </c>
      <c r="M35" s="36">
        <v>491</v>
      </c>
      <c r="N35" s="36">
        <v>252</v>
      </c>
      <c r="O35" s="36">
        <v>220</v>
      </c>
      <c r="P35" s="36" t="s">
        <v>28</v>
      </c>
      <c r="Q35" s="36" t="s">
        <v>28</v>
      </c>
      <c r="R35" s="36" t="s">
        <v>28</v>
      </c>
      <c r="S35" s="36" t="s">
        <v>28</v>
      </c>
      <c r="T35" s="37" t="s">
        <v>28</v>
      </c>
      <c r="U35" s="37">
        <v>24</v>
      </c>
      <c r="V35" s="37">
        <v>44.7</v>
      </c>
      <c r="W35" s="38">
        <v>21.6</v>
      </c>
      <c r="X35" s="38">
        <v>41.3</v>
      </c>
      <c r="Y35" s="38" t="s">
        <v>28</v>
      </c>
      <c r="Z35" s="38" t="s">
        <v>28</v>
      </c>
      <c r="AA35" s="38" t="s">
        <v>28</v>
      </c>
      <c r="AB35" s="38" t="s">
        <v>28</v>
      </c>
    </row>
    <row r="36" spans="1:28" ht="15" customHeight="1" x14ac:dyDescent="0.25">
      <c r="A36" s="35" t="s">
        <v>116</v>
      </c>
      <c r="B36" s="36" t="s">
        <v>28</v>
      </c>
      <c r="C36" s="36">
        <v>44</v>
      </c>
      <c r="D36" s="36">
        <v>40</v>
      </c>
      <c r="E36" s="36">
        <v>13</v>
      </c>
      <c r="F36" s="36">
        <v>8</v>
      </c>
      <c r="G36" s="36" t="s">
        <v>28</v>
      </c>
      <c r="H36" s="36">
        <v>9</v>
      </c>
      <c r="I36" s="36" t="s">
        <v>28</v>
      </c>
      <c r="J36" s="36">
        <v>16</v>
      </c>
      <c r="K36" s="36" t="s">
        <v>28</v>
      </c>
      <c r="L36" s="36">
        <v>1048</v>
      </c>
      <c r="M36" s="36">
        <v>998</v>
      </c>
      <c r="N36" s="36">
        <v>281</v>
      </c>
      <c r="O36" s="36">
        <v>289</v>
      </c>
      <c r="P36" s="36" t="s">
        <v>28</v>
      </c>
      <c r="Q36" s="36">
        <v>381</v>
      </c>
      <c r="R36" s="36" t="s">
        <v>28</v>
      </c>
      <c r="S36" s="36">
        <v>388</v>
      </c>
      <c r="T36" s="37" t="s">
        <v>28</v>
      </c>
      <c r="U36" s="37">
        <v>41.6</v>
      </c>
      <c r="V36" s="37">
        <v>40.4</v>
      </c>
      <c r="W36" s="38">
        <v>46.3</v>
      </c>
      <c r="X36" s="38">
        <v>28.1</v>
      </c>
      <c r="Y36" s="38" t="s">
        <v>28</v>
      </c>
      <c r="Z36" s="38">
        <v>22.6</v>
      </c>
      <c r="AA36" s="38" t="s">
        <v>28</v>
      </c>
      <c r="AB36" s="38">
        <v>40.200000000000003</v>
      </c>
    </row>
    <row r="37" spans="1:28" ht="15" customHeight="1" x14ac:dyDescent="0.25">
      <c r="A37" s="35" t="s">
        <v>117</v>
      </c>
      <c r="B37" s="36" t="s">
        <v>28</v>
      </c>
      <c r="C37" s="36">
        <v>50</v>
      </c>
      <c r="D37" s="36">
        <v>47</v>
      </c>
      <c r="E37" s="36">
        <v>14</v>
      </c>
      <c r="F37" s="36">
        <v>20</v>
      </c>
      <c r="G37" s="36">
        <v>6</v>
      </c>
      <c r="H37" s="36">
        <v>14</v>
      </c>
      <c r="I37" s="36">
        <v>12</v>
      </c>
      <c r="J37" s="36">
        <v>25</v>
      </c>
      <c r="K37" s="36" t="s">
        <v>28</v>
      </c>
      <c r="L37" s="36">
        <v>876</v>
      </c>
      <c r="M37" s="36">
        <v>1078</v>
      </c>
      <c r="N37" s="36">
        <v>369</v>
      </c>
      <c r="O37" s="36">
        <v>1009</v>
      </c>
      <c r="P37" s="36">
        <v>218</v>
      </c>
      <c r="Q37" s="36">
        <v>593</v>
      </c>
      <c r="R37" s="36">
        <v>273</v>
      </c>
      <c r="S37" s="36">
        <v>832</v>
      </c>
      <c r="T37" s="37" t="s">
        <v>28</v>
      </c>
      <c r="U37" s="37">
        <v>57.4</v>
      </c>
      <c r="V37" s="37">
        <v>43.6</v>
      </c>
      <c r="W37" s="38">
        <v>38.200000000000003</v>
      </c>
      <c r="X37" s="38">
        <v>19.7</v>
      </c>
      <c r="Y37" s="38">
        <v>27.2</v>
      </c>
      <c r="Z37" s="38">
        <v>23.9</v>
      </c>
      <c r="AA37" s="38">
        <v>45.5</v>
      </c>
      <c r="AB37" s="38">
        <v>29.9</v>
      </c>
    </row>
    <row r="38" spans="1:28" ht="15" customHeight="1" x14ac:dyDescent="0.25">
      <c r="A38" s="35" t="s">
        <v>118</v>
      </c>
      <c r="B38" s="36" t="s">
        <v>28</v>
      </c>
      <c r="C38" s="36">
        <v>52</v>
      </c>
      <c r="D38" s="36">
        <v>63</v>
      </c>
      <c r="E38" s="36">
        <v>29</v>
      </c>
      <c r="F38" s="36">
        <v>37</v>
      </c>
      <c r="G38" s="36">
        <v>17</v>
      </c>
      <c r="H38" s="36">
        <v>25</v>
      </c>
      <c r="I38" s="36">
        <v>14</v>
      </c>
      <c r="J38" s="36">
        <v>57</v>
      </c>
      <c r="K38" s="36" t="s">
        <v>28</v>
      </c>
      <c r="L38" s="36">
        <v>1464</v>
      </c>
      <c r="M38" s="36">
        <v>1346</v>
      </c>
      <c r="N38" s="36">
        <v>893</v>
      </c>
      <c r="O38" s="36">
        <v>939</v>
      </c>
      <c r="P38" s="36">
        <v>582</v>
      </c>
      <c r="Q38" s="36">
        <v>587</v>
      </c>
      <c r="R38" s="36">
        <v>370</v>
      </c>
      <c r="S38" s="36">
        <v>1096</v>
      </c>
      <c r="T38" s="37" t="s">
        <v>28</v>
      </c>
      <c r="U38" s="37">
        <v>35.5</v>
      </c>
      <c r="V38" s="37">
        <v>46.5</v>
      </c>
      <c r="W38" s="38">
        <v>32.700000000000003</v>
      </c>
      <c r="X38" s="38">
        <v>39</v>
      </c>
      <c r="Y38" s="38">
        <v>28.6</v>
      </c>
      <c r="Z38" s="38">
        <v>43.4</v>
      </c>
      <c r="AA38" s="38">
        <v>37.5</v>
      </c>
      <c r="AB38" s="38">
        <v>52.1</v>
      </c>
    </row>
    <row r="39" spans="1:28" ht="15" customHeight="1" x14ac:dyDescent="0.25">
      <c r="A39" s="35" t="s">
        <v>119</v>
      </c>
      <c r="B39" s="36">
        <v>11</v>
      </c>
      <c r="C39" s="36">
        <v>76</v>
      </c>
      <c r="D39" s="36">
        <v>73</v>
      </c>
      <c r="E39" s="36">
        <v>21</v>
      </c>
      <c r="F39" s="36">
        <v>35</v>
      </c>
      <c r="G39" s="36">
        <v>19</v>
      </c>
      <c r="H39" s="36">
        <v>35</v>
      </c>
      <c r="I39" s="36">
        <v>25</v>
      </c>
      <c r="J39" s="36">
        <v>37</v>
      </c>
      <c r="K39" s="36">
        <v>287</v>
      </c>
      <c r="L39" s="36">
        <v>1266</v>
      </c>
      <c r="M39" s="36">
        <v>1562</v>
      </c>
      <c r="N39" s="36">
        <v>548</v>
      </c>
      <c r="O39" s="36">
        <v>931</v>
      </c>
      <c r="P39" s="36">
        <v>404</v>
      </c>
      <c r="Q39" s="36">
        <v>980</v>
      </c>
      <c r="R39" s="36">
        <v>650</v>
      </c>
      <c r="S39" s="36">
        <v>1352</v>
      </c>
      <c r="T39" s="37">
        <v>39.1</v>
      </c>
      <c r="U39" s="37">
        <v>59.7</v>
      </c>
      <c r="V39" s="37">
        <v>46.5</v>
      </c>
      <c r="W39" s="38">
        <v>38</v>
      </c>
      <c r="X39" s="38">
        <v>37.700000000000003</v>
      </c>
      <c r="Y39" s="38">
        <v>47.5</v>
      </c>
      <c r="Z39" s="38">
        <v>35.700000000000003</v>
      </c>
      <c r="AA39" s="38">
        <v>37.799999999999997</v>
      </c>
      <c r="AB39" s="38">
        <v>27.7</v>
      </c>
    </row>
    <row r="40" spans="1:28" ht="15" customHeight="1" x14ac:dyDescent="0.25">
      <c r="A40" s="35" t="s">
        <v>120</v>
      </c>
      <c r="B40" s="36">
        <v>10</v>
      </c>
      <c r="C40" s="36">
        <v>32</v>
      </c>
      <c r="D40" s="36">
        <v>80</v>
      </c>
      <c r="E40" s="36">
        <v>19</v>
      </c>
      <c r="F40" s="36">
        <v>51</v>
      </c>
      <c r="G40" s="36">
        <v>18</v>
      </c>
      <c r="H40" s="36">
        <v>44</v>
      </c>
      <c r="I40" s="36">
        <v>22</v>
      </c>
      <c r="J40" s="36">
        <v>49</v>
      </c>
      <c r="K40" s="36">
        <v>326</v>
      </c>
      <c r="L40" s="36">
        <v>822</v>
      </c>
      <c r="M40" s="36">
        <v>1541</v>
      </c>
      <c r="N40" s="36">
        <v>602</v>
      </c>
      <c r="O40" s="36">
        <v>1972</v>
      </c>
      <c r="P40" s="36">
        <v>793</v>
      </c>
      <c r="Q40" s="36">
        <v>1280</v>
      </c>
      <c r="R40" s="36">
        <v>616</v>
      </c>
      <c r="S40" s="36">
        <v>1935</v>
      </c>
      <c r="T40" s="37">
        <v>31.9</v>
      </c>
      <c r="U40" s="37">
        <v>39.200000000000003</v>
      </c>
      <c r="V40" s="37">
        <v>52.2</v>
      </c>
      <c r="W40" s="38">
        <v>31.4</v>
      </c>
      <c r="X40" s="38">
        <v>26</v>
      </c>
      <c r="Y40" s="38">
        <v>22.3</v>
      </c>
      <c r="Z40" s="38">
        <v>34.5</v>
      </c>
      <c r="AA40" s="38">
        <v>36.299999999999997</v>
      </c>
      <c r="AB40" s="38">
        <v>25.4</v>
      </c>
    </row>
    <row r="41" spans="1:28" ht="15" customHeight="1" x14ac:dyDescent="0.25">
      <c r="A41" s="35" t="s">
        <v>121</v>
      </c>
      <c r="B41" s="36" t="s">
        <v>28</v>
      </c>
      <c r="C41" s="36">
        <v>63</v>
      </c>
      <c r="D41" s="36">
        <v>62</v>
      </c>
      <c r="E41" s="36">
        <v>18</v>
      </c>
      <c r="F41" s="36">
        <v>43</v>
      </c>
      <c r="G41" s="36">
        <v>19</v>
      </c>
      <c r="H41" s="36">
        <v>33</v>
      </c>
      <c r="I41" s="36">
        <v>22</v>
      </c>
      <c r="J41" s="36">
        <v>58</v>
      </c>
      <c r="K41" s="36" t="s">
        <v>28</v>
      </c>
      <c r="L41" s="36">
        <v>1282</v>
      </c>
      <c r="M41" s="36">
        <v>1619</v>
      </c>
      <c r="N41" s="36">
        <v>634</v>
      </c>
      <c r="O41" s="36">
        <v>1322</v>
      </c>
      <c r="P41" s="36">
        <v>836</v>
      </c>
      <c r="Q41" s="36">
        <v>1124</v>
      </c>
      <c r="R41" s="36">
        <v>642</v>
      </c>
      <c r="S41" s="36">
        <v>1434</v>
      </c>
      <c r="T41" s="37" t="s">
        <v>28</v>
      </c>
      <c r="U41" s="37">
        <v>48.8</v>
      </c>
      <c r="V41" s="37">
        <v>38.1</v>
      </c>
      <c r="W41" s="38">
        <v>28.3</v>
      </c>
      <c r="X41" s="38">
        <v>32.6</v>
      </c>
      <c r="Y41" s="38">
        <v>23</v>
      </c>
      <c r="Z41" s="38">
        <v>29.3</v>
      </c>
      <c r="AA41" s="38">
        <v>34.1</v>
      </c>
      <c r="AB41" s="38">
        <v>40.6</v>
      </c>
    </row>
    <row r="42" spans="1:28" ht="15" customHeight="1" x14ac:dyDescent="0.25">
      <c r="A42" s="35" t="s">
        <v>122</v>
      </c>
      <c r="B42" s="36" t="s">
        <v>28</v>
      </c>
      <c r="C42" s="36">
        <v>18</v>
      </c>
      <c r="D42" s="36">
        <v>35</v>
      </c>
      <c r="E42" s="36">
        <v>7</v>
      </c>
      <c r="F42" s="36">
        <v>24</v>
      </c>
      <c r="G42" s="36" t="s">
        <v>28</v>
      </c>
      <c r="H42" s="36">
        <v>17</v>
      </c>
      <c r="I42" s="36">
        <v>15</v>
      </c>
      <c r="J42" s="36">
        <v>18</v>
      </c>
      <c r="K42" s="36" t="s">
        <v>28</v>
      </c>
      <c r="L42" s="36">
        <v>563</v>
      </c>
      <c r="M42" s="36">
        <v>874</v>
      </c>
      <c r="N42" s="36">
        <v>294</v>
      </c>
      <c r="O42" s="36">
        <v>1070</v>
      </c>
      <c r="P42" s="36" t="s">
        <v>28</v>
      </c>
      <c r="Q42" s="36">
        <v>617</v>
      </c>
      <c r="R42" s="36">
        <v>303</v>
      </c>
      <c r="S42" s="36">
        <v>601</v>
      </c>
      <c r="T42" s="37" t="s">
        <v>28</v>
      </c>
      <c r="U42" s="37">
        <v>31.6</v>
      </c>
      <c r="V42" s="37">
        <v>40.200000000000003</v>
      </c>
      <c r="W42" s="38">
        <v>25</v>
      </c>
      <c r="X42" s="38">
        <v>22.1</v>
      </c>
      <c r="Y42" s="38" t="s">
        <v>28</v>
      </c>
      <c r="Z42" s="38">
        <v>27.4</v>
      </c>
      <c r="AA42" s="38">
        <v>48</v>
      </c>
      <c r="AB42" s="38">
        <v>29.2</v>
      </c>
    </row>
    <row r="43" spans="1:28" ht="15" customHeight="1" x14ac:dyDescent="0.25">
      <c r="A43" s="35" t="s">
        <v>123</v>
      </c>
      <c r="B43" s="36" t="s">
        <v>28</v>
      </c>
      <c r="C43" s="36" t="s">
        <v>28</v>
      </c>
      <c r="D43" s="36">
        <v>27</v>
      </c>
      <c r="E43" s="36">
        <v>9</v>
      </c>
      <c r="F43" s="36">
        <v>34</v>
      </c>
      <c r="G43" s="36" t="s">
        <v>28</v>
      </c>
      <c r="H43" s="36">
        <v>11</v>
      </c>
      <c r="I43" s="36" t="s">
        <v>28</v>
      </c>
      <c r="J43" s="36">
        <v>23</v>
      </c>
      <c r="K43" s="36" t="s">
        <v>28</v>
      </c>
      <c r="L43" s="36" t="s">
        <v>28</v>
      </c>
      <c r="M43" s="36">
        <v>743</v>
      </c>
      <c r="N43" s="36">
        <v>234</v>
      </c>
      <c r="O43" s="36">
        <v>1185</v>
      </c>
      <c r="P43" s="36" t="s">
        <v>28</v>
      </c>
      <c r="Q43" s="36">
        <v>345</v>
      </c>
      <c r="R43" s="36">
        <v>501</v>
      </c>
      <c r="S43" s="36">
        <v>573</v>
      </c>
      <c r="T43" s="37" t="s">
        <v>28</v>
      </c>
      <c r="U43" s="37" t="s">
        <v>28</v>
      </c>
      <c r="V43" s="37">
        <v>36.9</v>
      </c>
      <c r="W43" s="38">
        <v>36.9</v>
      </c>
      <c r="X43" s="38">
        <v>29</v>
      </c>
      <c r="Y43" s="38" t="s">
        <v>28</v>
      </c>
      <c r="Z43" s="38">
        <v>30.5</v>
      </c>
      <c r="AA43" s="38" t="s">
        <v>28</v>
      </c>
      <c r="AB43" s="38">
        <v>40.5</v>
      </c>
    </row>
    <row r="44" spans="1:28" ht="15" customHeight="1" x14ac:dyDescent="0.25">
      <c r="A44" s="35" t="s">
        <v>124</v>
      </c>
      <c r="B44" s="36" t="s">
        <v>28</v>
      </c>
      <c r="C44" s="36" t="s">
        <v>28</v>
      </c>
      <c r="D44" s="36">
        <v>32</v>
      </c>
      <c r="E44" s="36" t="s">
        <v>28</v>
      </c>
      <c r="F44" s="36">
        <v>36</v>
      </c>
      <c r="G44" s="36" t="s">
        <v>28</v>
      </c>
      <c r="H44" s="36">
        <v>10</v>
      </c>
      <c r="I44" s="36" t="s">
        <v>28</v>
      </c>
      <c r="J44" s="36" t="s">
        <v>28</v>
      </c>
      <c r="K44" s="36" t="s">
        <v>28</v>
      </c>
      <c r="L44" s="36" t="s">
        <v>28</v>
      </c>
      <c r="M44" s="36">
        <v>539</v>
      </c>
      <c r="N44" s="36" t="s">
        <v>28</v>
      </c>
      <c r="O44" s="36">
        <v>1048</v>
      </c>
      <c r="P44" s="36" t="s">
        <v>28</v>
      </c>
      <c r="Q44" s="36">
        <v>507</v>
      </c>
      <c r="R44" s="36" t="s">
        <v>28</v>
      </c>
      <c r="S44" s="36">
        <v>613</v>
      </c>
      <c r="T44" s="37" t="s">
        <v>28</v>
      </c>
      <c r="U44" s="37" t="s">
        <v>28</v>
      </c>
      <c r="V44" s="37">
        <v>60.1</v>
      </c>
      <c r="W44" s="38" t="s">
        <v>28</v>
      </c>
      <c r="X44" s="38">
        <v>34.700000000000003</v>
      </c>
      <c r="Y44" s="38" t="s">
        <v>28</v>
      </c>
      <c r="Z44" s="38">
        <v>20.399999999999999</v>
      </c>
      <c r="AA44" s="38" t="s">
        <v>28</v>
      </c>
      <c r="AB44" s="38">
        <v>55.9</v>
      </c>
    </row>
    <row r="45" spans="1:28" ht="24" customHeight="1" x14ac:dyDescent="0.25">
      <c r="A45" s="40" t="s">
        <v>125</v>
      </c>
      <c r="B45" s="32" t="s">
        <v>16</v>
      </c>
      <c r="C45" s="32" t="s">
        <v>16</v>
      </c>
      <c r="D45" s="32" t="s">
        <v>16</v>
      </c>
      <c r="E45" s="32" t="s">
        <v>16</v>
      </c>
      <c r="F45" s="32" t="s">
        <v>16</v>
      </c>
      <c r="G45" s="32" t="s">
        <v>16</v>
      </c>
      <c r="H45" s="32" t="s">
        <v>16</v>
      </c>
      <c r="I45" s="32" t="s">
        <v>16</v>
      </c>
      <c r="J45" s="32" t="s">
        <v>16</v>
      </c>
      <c r="K45" s="32" t="s">
        <v>16</v>
      </c>
      <c r="L45" s="32" t="s">
        <v>16</v>
      </c>
      <c r="M45" s="32" t="s">
        <v>16</v>
      </c>
      <c r="N45" s="32" t="s">
        <v>16</v>
      </c>
      <c r="O45" s="32" t="s">
        <v>16</v>
      </c>
      <c r="P45" s="32" t="s">
        <v>16</v>
      </c>
      <c r="Q45" s="32" t="s">
        <v>16</v>
      </c>
      <c r="R45" s="32" t="s">
        <v>16</v>
      </c>
      <c r="S45" s="32" t="s">
        <v>16</v>
      </c>
      <c r="T45" s="33"/>
      <c r="U45" s="33"/>
      <c r="V45" s="33"/>
      <c r="W45" s="34"/>
      <c r="X45" s="34"/>
      <c r="Y45" s="34"/>
      <c r="Z45" s="34"/>
      <c r="AA45" s="34"/>
      <c r="AB45" s="34"/>
    </row>
    <row r="46" spans="1:28" ht="15" customHeight="1" x14ac:dyDescent="0.25">
      <c r="A46" s="35" t="s">
        <v>126</v>
      </c>
      <c r="B46" s="36">
        <v>108</v>
      </c>
      <c r="C46" s="36">
        <v>215</v>
      </c>
      <c r="D46" s="36">
        <v>452</v>
      </c>
      <c r="E46" s="36">
        <v>109</v>
      </c>
      <c r="F46" s="36" t="s">
        <v>127</v>
      </c>
      <c r="G46" s="36" t="s">
        <v>127</v>
      </c>
      <c r="H46" s="36" t="s">
        <v>127</v>
      </c>
      <c r="I46" s="36">
        <v>131</v>
      </c>
      <c r="J46" s="36">
        <v>55</v>
      </c>
      <c r="K46" s="36">
        <v>2241</v>
      </c>
      <c r="L46" s="36">
        <v>5018</v>
      </c>
      <c r="M46" s="36">
        <v>9944</v>
      </c>
      <c r="N46" s="36">
        <v>3185</v>
      </c>
      <c r="O46" s="36" t="s">
        <v>127</v>
      </c>
      <c r="P46" s="36" t="s">
        <v>127</v>
      </c>
      <c r="Q46" s="36" t="s">
        <v>127</v>
      </c>
      <c r="R46" s="36">
        <v>2872</v>
      </c>
      <c r="S46" s="36">
        <v>1251</v>
      </c>
      <c r="T46" s="37">
        <v>48.1</v>
      </c>
      <c r="U46" s="37">
        <v>42.9</v>
      </c>
      <c r="V46" s="37">
        <v>45.5</v>
      </c>
      <c r="W46" s="38">
        <v>34.299999999999997</v>
      </c>
      <c r="X46" s="38" t="s">
        <v>127</v>
      </c>
      <c r="Y46" s="38" t="s">
        <v>127</v>
      </c>
      <c r="Z46" s="38" t="s">
        <v>127</v>
      </c>
      <c r="AA46" s="38">
        <v>45.6</v>
      </c>
      <c r="AB46" s="38">
        <v>44.3</v>
      </c>
    </row>
    <row r="47" spans="1:28" ht="15" customHeight="1" x14ac:dyDescent="0.25">
      <c r="A47" s="41" t="s">
        <v>128</v>
      </c>
      <c r="B47" s="36" t="s">
        <v>127</v>
      </c>
      <c r="C47" s="36">
        <v>164</v>
      </c>
      <c r="D47" s="36" t="s">
        <v>28</v>
      </c>
      <c r="E47" s="36">
        <v>36</v>
      </c>
      <c r="F47" s="36">
        <v>251</v>
      </c>
      <c r="G47" s="36">
        <v>79</v>
      </c>
      <c r="H47" s="36">
        <v>82</v>
      </c>
      <c r="I47" s="36" t="s">
        <v>127</v>
      </c>
      <c r="J47" s="36" t="s">
        <v>127</v>
      </c>
      <c r="K47" s="36" t="s">
        <v>127</v>
      </c>
      <c r="L47" s="36">
        <v>3809</v>
      </c>
      <c r="M47" s="36" t="s">
        <v>28</v>
      </c>
      <c r="N47" s="36">
        <v>1050</v>
      </c>
      <c r="O47" s="36">
        <v>8542</v>
      </c>
      <c r="P47" s="36">
        <v>2813</v>
      </c>
      <c r="Q47" s="36">
        <v>2301</v>
      </c>
      <c r="R47" s="36" t="s">
        <v>127</v>
      </c>
      <c r="S47" s="36" t="s">
        <v>127</v>
      </c>
      <c r="T47" s="37" t="s">
        <v>127</v>
      </c>
      <c r="U47" s="37">
        <v>43.1</v>
      </c>
      <c r="V47" s="37">
        <v>34.9</v>
      </c>
      <c r="W47" s="38">
        <v>34.299999999999997</v>
      </c>
      <c r="X47" s="38">
        <v>29.4</v>
      </c>
      <c r="Y47" s="38">
        <v>28</v>
      </c>
      <c r="Z47" s="38">
        <v>35.5</v>
      </c>
      <c r="AA47" s="38" t="s">
        <v>127</v>
      </c>
      <c r="AB47" s="38" t="s">
        <v>127</v>
      </c>
    </row>
    <row r="48" spans="1:28" ht="15" customHeight="1" x14ac:dyDescent="0.25">
      <c r="A48" s="41" t="s">
        <v>129</v>
      </c>
      <c r="B48" s="36" t="s">
        <v>127</v>
      </c>
      <c r="C48" s="36" t="s">
        <v>127</v>
      </c>
      <c r="D48" s="36" t="s">
        <v>127</v>
      </c>
      <c r="E48" s="36" t="s">
        <v>127</v>
      </c>
      <c r="F48" s="36" t="s">
        <v>127</v>
      </c>
      <c r="G48" s="36" t="s">
        <v>127</v>
      </c>
      <c r="H48" s="36" t="s">
        <v>28</v>
      </c>
      <c r="I48" s="36">
        <v>29</v>
      </c>
      <c r="J48" s="36">
        <v>198</v>
      </c>
      <c r="K48" s="36" t="s">
        <v>127</v>
      </c>
      <c r="L48" s="36" t="s">
        <v>127</v>
      </c>
      <c r="M48" s="36" t="s">
        <v>127</v>
      </c>
      <c r="N48" s="36" t="s">
        <v>127</v>
      </c>
      <c r="O48" s="36" t="s">
        <v>127</v>
      </c>
      <c r="P48" s="36" t="s">
        <v>127</v>
      </c>
      <c r="Q48" s="36" t="s">
        <v>28</v>
      </c>
      <c r="R48" s="36">
        <v>894</v>
      </c>
      <c r="S48" s="36">
        <v>5681</v>
      </c>
      <c r="T48" s="37" t="s">
        <v>127</v>
      </c>
      <c r="U48" s="37" t="s">
        <v>127</v>
      </c>
      <c r="V48" s="37" t="s">
        <v>127</v>
      </c>
      <c r="W48" s="38" t="s">
        <v>127</v>
      </c>
      <c r="X48" s="38" t="s">
        <v>127</v>
      </c>
      <c r="Y48" s="38" t="s">
        <v>127</v>
      </c>
      <c r="Z48" s="38">
        <v>24</v>
      </c>
      <c r="AA48" s="38">
        <v>31.9</v>
      </c>
      <c r="AB48" s="38">
        <v>34.799999999999997</v>
      </c>
    </row>
    <row r="49" spans="1:28" ht="15" customHeight="1" x14ac:dyDescent="0.25">
      <c r="A49" s="35" t="s">
        <v>130</v>
      </c>
      <c r="B49" s="36" t="s">
        <v>127</v>
      </c>
      <c r="C49" s="36" t="s">
        <v>127</v>
      </c>
      <c r="D49" s="36" t="s">
        <v>127</v>
      </c>
      <c r="E49" s="36" t="s">
        <v>127</v>
      </c>
      <c r="F49" s="36">
        <v>47</v>
      </c>
      <c r="G49" s="36" t="s">
        <v>28</v>
      </c>
      <c r="H49" s="36">
        <v>97</v>
      </c>
      <c r="I49" s="36" t="s">
        <v>127</v>
      </c>
      <c r="J49" s="36" t="s">
        <v>127</v>
      </c>
      <c r="K49" s="36" t="s">
        <v>127</v>
      </c>
      <c r="L49" s="36" t="s">
        <v>127</v>
      </c>
      <c r="M49" s="36" t="s">
        <v>127</v>
      </c>
      <c r="N49" s="36" t="s">
        <v>127</v>
      </c>
      <c r="O49" s="36">
        <v>1442</v>
      </c>
      <c r="P49" s="36" t="s">
        <v>28</v>
      </c>
      <c r="Q49" s="36">
        <v>3235</v>
      </c>
      <c r="R49" s="36" t="s">
        <v>127</v>
      </c>
      <c r="S49" s="36" t="s">
        <v>127</v>
      </c>
      <c r="T49" s="37" t="s">
        <v>127</v>
      </c>
      <c r="U49" s="37" t="s">
        <v>127</v>
      </c>
      <c r="V49" s="37" t="s">
        <v>127</v>
      </c>
      <c r="W49" s="38" t="s">
        <v>127</v>
      </c>
      <c r="X49" s="38">
        <v>32.5</v>
      </c>
      <c r="Y49" s="38">
        <v>35.6</v>
      </c>
      <c r="Z49" s="38">
        <v>30.1</v>
      </c>
      <c r="AA49" s="38" t="s">
        <v>127</v>
      </c>
      <c r="AB49" s="38" t="s">
        <v>127</v>
      </c>
    </row>
    <row r="50" spans="1:28" ht="15" customHeight="1" x14ac:dyDescent="0.25">
      <c r="A50" s="41" t="s">
        <v>131</v>
      </c>
      <c r="B50" s="36" t="s">
        <v>127</v>
      </c>
      <c r="C50" s="36" t="s">
        <v>127</v>
      </c>
      <c r="D50" s="36" t="s">
        <v>127</v>
      </c>
      <c r="E50" s="36" t="s">
        <v>127</v>
      </c>
      <c r="F50" s="36" t="s">
        <v>127</v>
      </c>
      <c r="G50" s="36" t="s">
        <v>127</v>
      </c>
      <c r="H50" s="36" t="s">
        <v>127</v>
      </c>
      <c r="I50" s="36" t="s">
        <v>127</v>
      </c>
      <c r="J50" s="36">
        <v>67</v>
      </c>
      <c r="K50" s="36" t="s">
        <v>127</v>
      </c>
      <c r="L50" s="36" t="s">
        <v>127</v>
      </c>
      <c r="M50" s="36" t="s">
        <v>127</v>
      </c>
      <c r="N50" s="36" t="s">
        <v>127</v>
      </c>
      <c r="O50" s="36" t="s">
        <v>127</v>
      </c>
      <c r="P50" s="36" t="s">
        <v>127</v>
      </c>
      <c r="Q50" s="36" t="s">
        <v>127</v>
      </c>
      <c r="R50" s="36" t="s">
        <v>127</v>
      </c>
      <c r="S50" s="36">
        <v>2033</v>
      </c>
      <c r="T50" s="37" t="s">
        <v>127</v>
      </c>
      <c r="U50" s="37" t="s">
        <v>127</v>
      </c>
      <c r="V50" s="37" t="s">
        <v>127</v>
      </c>
      <c r="W50" s="38" t="s">
        <v>127</v>
      </c>
      <c r="X50" s="38" t="s">
        <v>127</v>
      </c>
      <c r="Y50" s="38" t="s">
        <v>127</v>
      </c>
      <c r="Z50" s="38" t="s">
        <v>127</v>
      </c>
      <c r="AA50" s="38" t="s">
        <v>127</v>
      </c>
      <c r="AB50" s="38">
        <v>32.700000000000003</v>
      </c>
    </row>
    <row r="51" spans="1:28" ht="24" customHeight="1" x14ac:dyDescent="0.25">
      <c r="A51" s="40" t="s">
        <v>132</v>
      </c>
      <c r="B51" s="32" t="s">
        <v>16</v>
      </c>
      <c r="C51" s="32" t="s">
        <v>16</v>
      </c>
      <c r="D51" s="32" t="s">
        <v>16</v>
      </c>
      <c r="E51" s="32" t="s">
        <v>16</v>
      </c>
      <c r="F51" s="32" t="s">
        <v>16</v>
      </c>
      <c r="G51" s="32" t="s">
        <v>16</v>
      </c>
      <c r="H51" s="32" t="s">
        <v>16</v>
      </c>
      <c r="I51" s="32" t="s">
        <v>16</v>
      </c>
      <c r="J51" s="32" t="s">
        <v>16</v>
      </c>
      <c r="K51" s="32" t="s">
        <v>16</v>
      </c>
      <c r="L51" s="32" t="s">
        <v>16</v>
      </c>
      <c r="M51" s="32" t="s">
        <v>16</v>
      </c>
      <c r="N51" s="32" t="s">
        <v>16</v>
      </c>
      <c r="O51" s="32" t="s">
        <v>16</v>
      </c>
      <c r="P51" s="32" t="s">
        <v>16</v>
      </c>
      <c r="Q51" s="32" t="s">
        <v>16</v>
      </c>
      <c r="R51" s="32" t="s">
        <v>16</v>
      </c>
      <c r="S51" s="32" t="s">
        <v>16</v>
      </c>
      <c r="T51" s="33"/>
      <c r="U51" s="33"/>
      <c r="V51" s="33"/>
      <c r="W51" s="34"/>
      <c r="X51" s="34"/>
      <c r="Y51" s="34"/>
      <c r="Z51" s="34"/>
      <c r="AA51" s="34"/>
      <c r="AB51" s="34"/>
    </row>
    <row r="52" spans="1:28" ht="15" customHeight="1" x14ac:dyDescent="0.25">
      <c r="A52" s="35" t="s">
        <v>133</v>
      </c>
      <c r="B52" s="36">
        <v>22</v>
      </c>
      <c r="C52" s="36">
        <v>98</v>
      </c>
      <c r="D52" s="36">
        <v>204</v>
      </c>
      <c r="E52" s="36">
        <v>59</v>
      </c>
      <c r="F52" s="36">
        <v>144</v>
      </c>
      <c r="G52" s="36">
        <v>45</v>
      </c>
      <c r="H52" s="36">
        <v>111</v>
      </c>
      <c r="I52" s="36">
        <v>65</v>
      </c>
      <c r="J52" s="36">
        <v>149</v>
      </c>
      <c r="K52" s="36">
        <v>426</v>
      </c>
      <c r="L52" s="36">
        <v>2144</v>
      </c>
      <c r="M52" s="36">
        <v>4366</v>
      </c>
      <c r="N52" s="36">
        <v>1664</v>
      </c>
      <c r="O52" s="36">
        <v>4522</v>
      </c>
      <c r="P52" s="36">
        <v>1617</v>
      </c>
      <c r="Q52" s="36">
        <v>3598</v>
      </c>
      <c r="R52" s="36">
        <v>1838</v>
      </c>
      <c r="S52" s="36">
        <v>4322</v>
      </c>
      <c r="T52" s="37">
        <v>51.7</v>
      </c>
      <c r="U52" s="37">
        <v>45.7</v>
      </c>
      <c r="V52" s="37">
        <v>46.6</v>
      </c>
      <c r="W52" s="38">
        <v>35.200000000000003</v>
      </c>
      <c r="X52" s="38">
        <v>31.9</v>
      </c>
      <c r="Y52" s="38">
        <v>27.7</v>
      </c>
      <c r="Z52" s="38">
        <v>30.7</v>
      </c>
      <c r="AA52" s="38">
        <v>35.200000000000003</v>
      </c>
      <c r="AB52" s="38">
        <v>34.6</v>
      </c>
    </row>
    <row r="53" spans="1:28" ht="15" customHeight="1" x14ac:dyDescent="0.25">
      <c r="A53" s="41" t="s">
        <v>134</v>
      </c>
      <c r="B53" s="36">
        <v>29</v>
      </c>
      <c r="C53" s="36">
        <v>113</v>
      </c>
      <c r="D53" s="36">
        <v>108</v>
      </c>
      <c r="E53" s="36">
        <v>34</v>
      </c>
      <c r="F53" s="36">
        <v>52</v>
      </c>
      <c r="G53" s="36">
        <v>21</v>
      </c>
      <c r="H53" s="36">
        <v>38</v>
      </c>
      <c r="I53" s="36">
        <v>36</v>
      </c>
      <c r="J53" s="36">
        <v>69</v>
      </c>
      <c r="K53" s="36">
        <v>789</v>
      </c>
      <c r="L53" s="36">
        <v>2357</v>
      </c>
      <c r="M53" s="36">
        <v>2863</v>
      </c>
      <c r="N53" s="36">
        <v>1180</v>
      </c>
      <c r="O53" s="36">
        <v>2133</v>
      </c>
      <c r="P53" s="36">
        <v>901</v>
      </c>
      <c r="Q53" s="36">
        <v>1271</v>
      </c>
      <c r="R53" s="36">
        <v>919</v>
      </c>
      <c r="S53" s="36">
        <v>2253</v>
      </c>
      <c r="T53" s="37">
        <v>36.200000000000003</v>
      </c>
      <c r="U53" s="37">
        <v>48</v>
      </c>
      <c r="V53" s="37">
        <v>37.6</v>
      </c>
      <c r="W53" s="38">
        <v>28.7</v>
      </c>
      <c r="X53" s="38">
        <v>24.4</v>
      </c>
      <c r="Y53" s="38">
        <v>23.4</v>
      </c>
      <c r="Z53" s="38">
        <v>29.6</v>
      </c>
      <c r="AA53" s="38">
        <v>39.299999999999997</v>
      </c>
      <c r="AB53" s="38">
        <v>30.5</v>
      </c>
    </row>
    <row r="54" spans="1:28" ht="15" customHeight="1" x14ac:dyDescent="0.25">
      <c r="A54" s="41" t="s">
        <v>135</v>
      </c>
      <c r="B54" s="36">
        <v>13</v>
      </c>
      <c r="C54" s="36">
        <v>43</v>
      </c>
      <c r="D54" s="36">
        <v>69</v>
      </c>
      <c r="E54" s="36">
        <v>23</v>
      </c>
      <c r="F54" s="36">
        <v>27</v>
      </c>
      <c r="G54" s="36">
        <v>8</v>
      </c>
      <c r="H54" s="36">
        <v>11</v>
      </c>
      <c r="I54" s="36">
        <v>8</v>
      </c>
      <c r="J54" s="36">
        <v>16</v>
      </c>
      <c r="K54" s="36">
        <v>379</v>
      </c>
      <c r="L54" s="36">
        <v>1231</v>
      </c>
      <c r="M54" s="36">
        <v>1402</v>
      </c>
      <c r="N54" s="36">
        <v>710</v>
      </c>
      <c r="O54" s="36">
        <v>751</v>
      </c>
      <c r="P54" s="36">
        <v>275</v>
      </c>
      <c r="Q54" s="36">
        <v>545</v>
      </c>
      <c r="R54" s="36">
        <v>227</v>
      </c>
      <c r="S54" s="36">
        <v>564</v>
      </c>
      <c r="T54" s="37">
        <v>34.299999999999997</v>
      </c>
      <c r="U54" s="37">
        <v>35</v>
      </c>
      <c r="V54" s="37">
        <v>49.5</v>
      </c>
      <c r="W54" s="38">
        <v>32.1</v>
      </c>
      <c r="X54" s="38">
        <v>36</v>
      </c>
      <c r="Y54" s="38">
        <v>28.9</v>
      </c>
      <c r="Z54" s="38">
        <v>19.600000000000001</v>
      </c>
      <c r="AA54" s="38">
        <v>37.4</v>
      </c>
      <c r="AB54" s="38">
        <v>29.1</v>
      </c>
    </row>
    <row r="55" spans="1:28" ht="15" customHeight="1" x14ac:dyDescent="0.25">
      <c r="A55" s="35" t="s">
        <v>136</v>
      </c>
      <c r="B55" s="36">
        <v>35</v>
      </c>
      <c r="C55" s="36">
        <v>97</v>
      </c>
      <c r="D55" s="36">
        <v>75</v>
      </c>
      <c r="E55" s="36">
        <v>26</v>
      </c>
      <c r="F55" s="36">
        <v>59</v>
      </c>
      <c r="G55" s="36">
        <v>20</v>
      </c>
      <c r="H55" s="36">
        <v>32</v>
      </c>
      <c r="I55" s="36">
        <v>14</v>
      </c>
      <c r="J55" s="36">
        <v>75</v>
      </c>
      <c r="K55" s="36">
        <v>523</v>
      </c>
      <c r="L55" s="36">
        <v>2140</v>
      </c>
      <c r="M55" s="36">
        <v>1519</v>
      </c>
      <c r="N55" s="36">
        <v>606</v>
      </c>
      <c r="O55" s="36">
        <v>2045</v>
      </c>
      <c r="P55" s="36">
        <v>512</v>
      </c>
      <c r="Q55" s="36">
        <v>720</v>
      </c>
      <c r="R55" s="36">
        <v>357</v>
      </c>
      <c r="S55" s="36">
        <v>1343</v>
      </c>
      <c r="T55" s="37">
        <v>66.099999999999994</v>
      </c>
      <c r="U55" s="37">
        <v>45.5</v>
      </c>
      <c r="V55" s="37">
        <v>49.6</v>
      </c>
      <c r="W55" s="38">
        <v>43.5</v>
      </c>
      <c r="X55" s="38">
        <v>28.7</v>
      </c>
      <c r="Y55" s="38">
        <v>38.700000000000003</v>
      </c>
      <c r="Z55" s="38">
        <v>44</v>
      </c>
      <c r="AA55" s="38">
        <v>38.4</v>
      </c>
      <c r="AB55" s="38">
        <v>55.8</v>
      </c>
    </row>
    <row r="56" spans="1:28" ht="15" customHeight="1" x14ac:dyDescent="0.25">
      <c r="A56" s="41" t="s">
        <v>137</v>
      </c>
      <c r="B56" s="36" t="s">
        <v>28</v>
      </c>
      <c r="C56" s="36">
        <v>28</v>
      </c>
      <c r="D56" s="36">
        <v>26</v>
      </c>
      <c r="E56" s="36" t="s">
        <v>28</v>
      </c>
      <c r="F56" s="36">
        <v>15</v>
      </c>
      <c r="G56" s="36" t="s">
        <v>28</v>
      </c>
      <c r="H56" s="36">
        <v>11</v>
      </c>
      <c r="I56" s="36" t="s">
        <v>28</v>
      </c>
      <c r="J56" s="36">
        <v>10</v>
      </c>
      <c r="K56" s="36" t="s">
        <v>28</v>
      </c>
      <c r="L56" s="36">
        <v>955</v>
      </c>
      <c r="M56" s="36">
        <v>640</v>
      </c>
      <c r="N56" s="36" t="s">
        <v>28</v>
      </c>
      <c r="O56" s="36">
        <v>532</v>
      </c>
      <c r="P56" s="36" t="s">
        <v>28</v>
      </c>
      <c r="Q56" s="36">
        <v>346</v>
      </c>
      <c r="R56" s="36" t="s">
        <v>28</v>
      </c>
      <c r="S56" s="36">
        <v>484</v>
      </c>
      <c r="T56" s="37" t="s">
        <v>28</v>
      </c>
      <c r="U56" s="37">
        <v>29.2</v>
      </c>
      <c r="V56" s="37">
        <v>40</v>
      </c>
      <c r="W56" s="38" t="s">
        <v>28</v>
      </c>
      <c r="X56" s="38">
        <v>28.9</v>
      </c>
      <c r="Y56" s="38" t="s">
        <v>28</v>
      </c>
      <c r="Z56" s="38">
        <v>31.9</v>
      </c>
      <c r="AA56" s="38" t="s">
        <v>28</v>
      </c>
      <c r="AB56" s="38">
        <v>21</v>
      </c>
    </row>
    <row r="57" spans="1:28" ht="24" customHeight="1" x14ac:dyDescent="0.25">
      <c r="A57" s="40" t="s">
        <v>144</v>
      </c>
      <c r="B57" s="32" t="s">
        <v>16</v>
      </c>
      <c r="C57" s="32" t="s">
        <v>16</v>
      </c>
      <c r="D57" s="32" t="s">
        <v>16</v>
      </c>
      <c r="E57" s="32" t="s">
        <v>16</v>
      </c>
      <c r="F57" s="32" t="s">
        <v>16</v>
      </c>
      <c r="G57" s="32" t="s">
        <v>16</v>
      </c>
      <c r="H57" s="32" t="s">
        <v>16</v>
      </c>
      <c r="I57" s="32" t="s">
        <v>16</v>
      </c>
      <c r="J57" s="32" t="s">
        <v>16</v>
      </c>
      <c r="K57" s="32" t="s">
        <v>16</v>
      </c>
      <c r="L57" s="32" t="s">
        <v>16</v>
      </c>
      <c r="M57" s="32" t="s">
        <v>16</v>
      </c>
      <c r="N57" s="32" t="s">
        <v>16</v>
      </c>
      <c r="O57" s="32" t="s">
        <v>16</v>
      </c>
      <c r="P57" s="32" t="s">
        <v>16</v>
      </c>
      <c r="Q57" s="32" t="s">
        <v>16</v>
      </c>
      <c r="R57" s="32" t="s">
        <v>16</v>
      </c>
      <c r="S57" s="32" t="s">
        <v>16</v>
      </c>
      <c r="T57" s="33"/>
      <c r="U57" s="33"/>
      <c r="V57" s="33"/>
      <c r="W57" s="34"/>
      <c r="X57" s="34"/>
      <c r="Y57" s="34"/>
      <c r="Z57" s="34"/>
      <c r="AA57" s="34"/>
      <c r="AB57" s="34"/>
    </row>
    <row r="58" spans="1:28" ht="15" customHeight="1" x14ac:dyDescent="0.25">
      <c r="A58" s="35" t="s">
        <v>145</v>
      </c>
      <c r="B58" s="42">
        <v>5</v>
      </c>
      <c r="C58" s="42">
        <v>44</v>
      </c>
      <c r="D58" s="42">
        <v>63</v>
      </c>
      <c r="E58" s="42">
        <v>24</v>
      </c>
      <c r="F58" s="42">
        <v>28</v>
      </c>
      <c r="G58" s="42">
        <v>14</v>
      </c>
      <c r="H58" s="42">
        <v>30</v>
      </c>
      <c r="I58" s="42">
        <v>23</v>
      </c>
      <c r="J58" s="42">
        <v>26</v>
      </c>
      <c r="K58" s="42">
        <v>240</v>
      </c>
      <c r="L58" s="42">
        <v>998</v>
      </c>
      <c r="M58" s="42">
        <v>1734</v>
      </c>
      <c r="N58" s="42">
        <v>798</v>
      </c>
      <c r="O58" s="42">
        <v>892</v>
      </c>
      <c r="P58" s="42">
        <v>612</v>
      </c>
      <c r="Q58" s="42">
        <v>1010</v>
      </c>
      <c r="R58" s="42">
        <v>531</v>
      </c>
      <c r="S58" s="42">
        <v>1041</v>
      </c>
      <c r="T58" s="43">
        <v>21.7</v>
      </c>
      <c r="U58" s="43">
        <v>44.4</v>
      </c>
      <c r="V58" s="43">
        <v>36.1</v>
      </c>
      <c r="W58" s="44">
        <v>30.6</v>
      </c>
      <c r="X58" s="44">
        <v>31.4</v>
      </c>
      <c r="Y58" s="44">
        <v>22.8</v>
      </c>
      <c r="Z58" s="44">
        <v>30.1</v>
      </c>
      <c r="AA58" s="44">
        <v>42.5</v>
      </c>
      <c r="AB58" s="44">
        <v>25.4</v>
      </c>
    </row>
    <row r="59" spans="1:28" ht="15" customHeight="1" x14ac:dyDescent="0.25">
      <c r="A59" s="41" t="s">
        <v>146</v>
      </c>
      <c r="B59" s="42" t="s">
        <v>28</v>
      </c>
      <c r="C59" s="42">
        <v>25</v>
      </c>
      <c r="D59" s="42">
        <v>39</v>
      </c>
      <c r="E59" s="42">
        <v>16</v>
      </c>
      <c r="F59" s="42">
        <v>35</v>
      </c>
      <c r="G59" s="42">
        <v>9</v>
      </c>
      <c r="H59" s="42">
        <v>20</v>
      </c>
      <c r="I59" s="42">
        <v>13</v>
      </c>
      <c r="J59" s="42">
        <v>31</v>
      </c>
      <c r="K59" s="42">
        <v>213</v>
      </c>
      <c r="L59" s="42">
        <v>646</v>
      </c>
      <c r="M59" s="42">
        <v>1004</v>
      </c>
      <c r="N59" s="42">
        <v>471</v>
      </c>
      <c r="O59" s="42">
        <v>783</v>
      </c>
      <c r="P59" s="42">
        <v>395</v>
      </c>
      <c r="Q59" s="42">
        <v>605</v>
      </c>
      <c r="R59" s="42">
        <v>319</v>
      </c>
      <c r="S59" s="42">
        <v>919</v>
      </c>
      <c r="T59" s="43">
        <v>45.3</v>
      </c>
      <c r="U59" s="43">
        <v>38</v>
      </c>
      <c r="V59" s="43">
        <v>38.6</v>
      </c>
      <c r="W59" s="44">
        <v>33.299999999999997</v>
      </c>
      <c r="X59" s="44">
        <v>44.3</v>
      </c>
      <c r="Y59" s="44">
        <v>22.6</v>
      </c>
      <c r="Z59" s="44">
        <v>33.700000000000003</v>
      </c>
      <c r="AA59" s="44">
        <v>41.2</v>
      </c>
      <c r="AB59" s="44">
        <v>33.9</v>
      </c>
    </row>
    <row r="60" spans="1:28" ht="15" customHeight="1" x14ac:dyDescent="0.25">
      <c r="A60" s="41" t="s">
        <v>147</v>
      </c>
      <c r="B60" s="42" t="s">
        <v>28</v>
      </c>
      <c r="C60" s="42">
        <v>28</v>
      </c>
      <c r="D60" s="42">
        <v>70</v>
      </c>
      <c r="E60" s="42">
        <v>18</v>
      </c>
      <c r="F60" s="42">
        <v>55</v>
      </c>
      <c r="G60" s="42">
        <v>15</v>
      </c>
      <c r="H60" s="42">
        <v>30</v>
      </c>
      <c r="I60" s="42">
        <v>19</v>
      </c>
      <c r="J60" s="42">
        <v>46</v>
      </c>
      <c r="K60" s="42" t="s">
        <v>28</v>
      </c>
      <c r="L60" s="42">
        <v>844</v>
      </c>
      <c r="M60" s="42">
        <v>1174</v>
      </c>
      <c r="N60" s="42">
        <v>447</v>
      </c>
      <c r="O60" s="42">
        <v>1077</v>
      </c>
      <c r="P60" s="42">
        <v>325</v>
      </c>
      <c r="Q60" s="42">
        <v>853</v>
      </c>
      <c r="R60" s="42">
        <v>483</v>
      </c>
      <c r="S60" s="42">
        <v>1376</v>
      </c>
      <c r="T60" s="43" t="s">
        <v>28</v>
      </c>
      <c r="U60" s="43">
        <v>33.4</v>
      </c>
      <c r="V60" s="43">
        <v>59.7</v>
      </c>
      <c r="W60" s="44">
        <v>41.2</v>
      </c>
      <c r="X60" s="44">
        <v>51.5</v>
      </c>
      <c r="Y60" s="44">
        <v>46.9</v>
      </c>
      <c r="Z60" s="44">
        <v>35.700000000000003</v>
      </c>
      <c r="AA60" s="44">
        <v>38.6</v>
      </c>
      <c r="AB60" s="44">
        <v>33.200000000000003</v>
      </c>
    </row>
    <row r="61" spans="1:28" ht="15" customHeight="1" x14ac:dyDescent="0.25">
      <c r="A61" s="35" t="s">
        <v>148</v>
      </c>
      <c r="B61" s="42" t="s">
        <v>28</v>
      </c>
      <c r="C61" s="42">
        <v>44</v>
      </c>
      <c r="D61" s="42">
        <v>92</v>
      </c>
      <c r="E61" s="42">
        <v>25</v>
      </c>
      <c r="F61" s="42">
        <v>48</v>
      </c>
      <c r="G61" s="42">
        <v>16</v>
      </c>
      <c r="H61" s="42">
        <v>43</v>
      </c>
      <c r="I61" s="42">
        <v>26</v>
      </c>
      <c r="J61" s="42">
        <v>61</v>
      </c>
      <c r="K61" s="42" t="s">
        <v>28</v>
      </c>
      <c r="L61" s="42">
        <v>1045</v>
      </c>
      <c r="M61" s="42">
        <v>2094</v>
      </c>
      <c r="N61" s="42">
        <v>803</v>
      </c>
      <c r="O61" s="42">
        <v>1531</v>
      </c>
      <c r="P61" s="42">
        <v>813</v>
      </c>
      <c r="Q61" s="42">
        <v>1220</v>
      </c>
      <c r="R61" s="42">
        <v>726</v>
      </c>
      <c r="S61" s="42">
        <v>1989</v>
      </c>
      <c r="T61" s="43" t="s">
        <v>28</v>
      </c>
      <c r="U61" s="43">
        <v>42.4</v>
      </c>
      <c r="V61" s="43">
        <v>43.8</v>
      </c>
      <c r="W61" s="44">
        <v>31.3</v>
      </c>
      <c r="X61" s="44">
        <v>31.3</v>
      </c>
      <c r="Y61" s="44">
        <v>20</v>
      </c>
      <c r="Z61" s="44">
        <v>35.1</v>
      </c>
      <c r="AA61" s="44">
        <v>35.299999999999997</v>
      </c>
      <c r="AB61" s="44">
        <v>30.8</v>
      </c>
    </row>
    <row r="62" spans="1:28" ht="15" customHeight="1" x14ac:dyDescent="0.25">
      <c r="A62" s="41" t="s">
        <v>149</v>
      </c>
      <c r="B62" s="42" t="s">
        <v>28</v>
      </c>
      <c r="C62" s="42">
        <v>68</v>
      </c>
      <c r="D62" s="42">
        <v>89</v>
      </c>
      <c r="E62" s="42">
        <v>16</v>
      </c>
      <c r="F62" s="42">
        <v>57</v>
      </c>
      <c r="G62" s="42">
        <v>23</v>
      </c>
      <c r="H62" s="42">
        <v>21</v>
      </c>
      <c r="I62" s="42">
        <v>13</v>
      </c>
      <c r="J62" s="42">
        <v>42</v>
      </c>
      <c r="K62" s="42" t="s">
        <v>28</v>
      </c>
      <c r="L62" s="42">
        <v>1443</v>
      </c>
      <c r="M62" s="42">
        <v>1843</v>
      </c>
      <c r="N62" s="42">
        <v>567</v>
      </c>
      <c r="O62" s="42">
        <v>2539</v>
      </c>
      <c r="P62" s="42">
        <v>540</v>
      </c>
      <c r="Q62" s="42">
        <v>1267</v>
      </c>
      <c r="R62" s="42">
        <v>475</v>
      </c>
      <c r="S62" s="42">
        <v>1308</v>
      </c>
      <c r="T62" s="43" t="s">
        <v>28</v>
      </c>
      <c r="U62" s="43">
        <v>47.2</v>
      </c>
      <c r="V62" s="43">
        <v>48.1</v>
      </c>
      <c r="W62" s="44">
        <v>28.8</v>
      </c>
      <c r="X62" s="44">
        <v>22.4</v>
      </c>
      <c r="Y62" s="44">
        <v>41.7</v>
      </c>
      <c r="Z62" s="44">
        <v>16.7</v>
      </c>
      <c r="AA62" s="44">
        <v>26.6</v>
      </c>
      <c r="AB62" s="44">
        <v>31.7</v>
      </c>
    </row>
    <row r="63" spans="1:28" ht="15" customHeight="1" x14ac:dyDescent="0.25">
      <c r="A63" s="41" t="s">
        <v>150</v>
      </c>
      <c r="B63" s="42">
        <v>25</v>
      </c>
      <c r="C63" s="42">
        <v>75</v>
      </c>
      <c r="D63" s="42">
        <v>52</v>
      </c>
      <c r="E63" s="42">
        <v>31</v>
      </c>
      <c r="F63" s="42">
        <v>36</v>
      </c>
      <c r="G63" s="42">
        <v>7</v>
      </c>
      <c r="H63" s="42">
        <v>24</v>
      </c>
      <c r="I63" s="42">
        <v>22</v>
      </c>
      <c r="J63" s="42">
        <v>57</v>
      </c>
      <c r="K63" s="42">
        <v>527</v>
      </c>
      <c r="L63" s="42">
        <v>1671</v>
      </c>
      <c r="M63" s="42">
        <v>1422</v>
      </c>
      <c r="N63" s="42">
        <v>706</v>
      </c>
      <c r="O63" s="42">
        <v>1969</v>
      </c>
      <c r="P63" s="42">
        <v>358</v>
      </c>
      <c r="Q63" s="42">
        <v>672</v>
      </c>
      <c r="R63" s="42">
        <v>585</v>
      </c>
      <c r="S63" s="42">
        <v>969</v>
      </c>
      <c r="T63" s="43">
        <v>48.3</v>
      </c>
      <c r="U63" s="43">
        <v>44.7</v>
      </c>
      <c r="V63" s="43">
        <v>36.9</v>
      </c>
      <c r="W63" s="44">
        <v>43.3</v>
      </c>
      <c r="X63" s="44">
        <v>18</v>
      </c>
      <c r="Y63" s="44">
        <v>18.5</v>
      </c>
      <c r="Z63" s="44">
        <v>36.200000000000003</v>
      </c>
      <c r="AA63" s="44">
        <v>37.299999999999997</v>
      </c>
      <c r="AB63" s="44">
        <v>59.3</v>
      </c>
    </row>
    <row r="64" spans="1:28" ht="15" customHeight="1" x14ac:dyDescent="0.25">
      <c r="A64" s="41" t="s">
        <v>151</v>
      </c>
      <c r="B64" s="42">
        <v>21</v>
      </c>
      <c r="C64" s="42">
        <v>95</v>
      </c>
      <c r="D64" s="42">
        <v>77</v>
      </c>
      <c r="E64" s="42">
        <v>15</v>
      </c>
      <c r="F64" s="42">
        <v>39</v>
      </c>
      <c r="G64" s="42">
        <v>18</v>
      </c>
      <c r="H64" s="42">
        <v>32</v>
      </c>
      <c r="I64" s="42" t="s">
        <v>28</v>
      </c>
      <c r="J64" s="42">
        <v>56</v>
      </c>
      <c r="K64" s="42">
        <v>312</v>
      </c>
      <c r="L64" s="42">
        <v>2180</v>
      </c>
      <c r="M64" s="42">
        <v>1518</v>
      </c>
      <c r="N64" s="42">
        <v>443</v>
      </c>
      <c r="O64" s="42">
        <v>1193</v>
      </c>
      <c r="P64" s="42">
        <v>392</v>
      </c>
      <c r="Q64" s="42">
        <v>853</v>
      </c>
      <c r="R64" s="42">
        <v>646</v>
      </c>
      <c r="S64" s="42">
        <v>1364</v>
      </c>
      <c r="T64" s="43">
        <v>66.400000000000006</v>
      </c>
      <c r="U64" s="43">
        <v>43.7</v>
      </c>
      <c r="V64" s="43">
        <v>50.9</v>
      </c>
      <c r="W64" s="44">
        <v>32.799999999999997</v>
      </c>
      <c r="X64" s="44">
        <v>32.799999999999997</v>
      </c>
      <c r="Y64" s="44">
        <v>44.7</v>
      </c>
      <c r="Z64" s="44">
        <v>37.799999999999997</v>
      </c>
      <c r="AA64" s="44">
        <v>69.7</v>
      </c>
      <c r="AB64" s="44">
        <v>41.2</v>
      </c>
    </row>
    <row r="65" spans="1:28" ht="24" customHeight="1" x14ac:dyDescent="0.25">
      <c r="A65" s="40" t="s">
        <v>152</v>
      </c>
      <c r="B65" s="45" t="s">
        <v>16</v>
      </c>
      <c r="C65" s="45" t="s">
        <v>16</v>
      </c>
      <c r="D65" s="45" t="s">
        <v>16</v>
      </c>
      <c r="E65" s="45" t="s">
        <v>16</v>
      </c>
      <c r="F65" s="45" t="s">
        <v>16</v>
      </c>
      <c r="G65" s="45" t="s">
        <v>16</v>
      </c>
      <c r="H65" s="45" t="s">
        <v>16</v>
      </c>
      <c r="I65" s="45" t="s">
        <v>16</v>
      </c>
      <c r="J65" s="45" t="s">
        <v>16</v>
      </c>
      <c r="K65" s="45" t="s">
        <v>16</v>
      </c>
      <c r="L65" s="45" t="s">
        <v>16</v>
      </c>
      <c r="M65" s="45" t="s">
        <v>16</v>
      </c>
      <c r="N65" s="45" t="s">
        <v>16</v>
      </c>
      <c r="O65" s="45" t="s">
        <v>16</v>
      </c>
      <c r="P65" s="45" t="s">
        <v>16</v>
      </c>
      <c r="Q65" s="45" t="s">
        <v>16</v>
      </c>
      <c r="R65" s="45" t="s">
        <v>16</v>
      </c>
      <c r="S65" s="45" t="s">
        <v>16</v>
      </c>
      <c r="T65" s="46"/>
      <c r="U65" s="46"/>
      <c r="V65" s="46"/>
      <c r="W65" s="47"/>
      <c r="X65" s="47"/>
      <c r="Y65" s="47"/>
      <c r="Z65" s="47"/>
      <c r="AA65" s="47"/>
      <c r="AB65" s="47"/>
    </row>
    <row r="66" spans="1:28" ht="15" customHeight="1" x14ac:dyDescent="0.25">
      <c r="A66" s="35" t="s">
        <v>153</v>
      </c>
      <c r="B66" s="42" t="s">
        <v>28</v>
      </c>
      <c r="C66" s="42">
        <v>12</v>
      </c>
      <c r="D66" s="42">
        <v>28</v>
      </c>
      <c r="E66" s="42">
        <v>8</v>
      </c>
      <c r="F66" s="42" t="s">
        <v>28</v>
      </c>
      <c r="G66" s="42">
        <v>6</v>
      </c>
      <c r="H66" s="42">
        <v>11</v>
      </c>
      <c r="I66" s="42" t="s">
        <v>28</v>
      </c>
      <c r="J66" s="42">
        <v>9</v>
      </c>
      <c r="K66" s="42" t="s">
        <v>28</v>
      </c>
      <c r="L66" s="42">
        <v>411</v>
      </c>
      <c r="M66" s="42">
        <v>828</v>
      </c>
      <c r="N66" s="42">
        <v>380</v>
      </c>
      <c r="O66" s="42">
        <v>340</v>
      </c>
      <c r="P66" s="42">
        <v>363</v>
      </c>
      <c r="Q66" s="42">
        <v>539</v>
      </c>
      <c r="R66" s="42" t="s">
        <v>28</v>
      </c>
      <c r="S66" s="42">
        <v>484</v>
      </c>
      <c r="T66" s="43" t="s">
        <v>28</v>
      </c>
      <c r="U66" s="43">
        <v>30.1</v>
      </c>
      <c r="V66" s="43">
        <v>33.9</v>
      </c>
      <c r="W66" s="44">
        <v>21.2</v>
      </c>
      <c r="X66" s="44">
        <v>26.2</v>
      </c>
      <c r="Y66" s="44">
        <v>16.100000000000001</v>
      </c>
      <c r="Z66" s="44">
        <v>19.5</v>
      </c>
      <c r="AA66" s="44">
        <v>33.9</v>
      </c>
      <c r="AB66" s="44">
        <v>19</v>
      </c>
    </row>
    <row r="67" spans="1:28" ht="15" customHeight="1" x14ac:dyDescent="0.25">
      <c r="A67" s="41" t="s">
        <v>154</v>
      </c>
      <c r="B67" s="42">
        <v>6</v>
      </c>
      <c r="C67" s="42">
        <v>38</v>
      </c>
      <c r="D67" s="42">
        <v>64</v>
      </c>
      <c r="E67" s="42">
        <v>19</v>
      </c>
      <c r="F67" s="42">
        <v>27</v>
      </c>
      <c r="G67" s="42">
        <v>13</v>
      </c>
      <c r="H67" s="42" t="s">
        <v>28</v>
      </c>
      <c r="I67" s="42">
        <v>23</v>
      </c>
      <c r="J67" s="42">
        <v>38</v>
      </c>
      <c r="K67" s="42">
        <v>256</v>
      </c>
      <c r="L67" s="42">
        <v>1197</v>
      </c>
      <c r="M67" s="42">
        <v>1832</v>
      </c>
      <c r="N67" s="42">
        <v>715</v>
      </c>
      <c r="O67" s="42">
        <v>1519</v>
      </c>
      <c r="P67" s="42">
        <v>829</v>
      </c>
      <c r="Q67" s="42">
        <v>1413</v>
      </c>
      <c r="R67" s="42">
        <v>723</v>
      </c>
      <c r="S67" s="42">
        <v>1475</v>
      </c>
      <c r="T67" s="43">
        <v>24.9</v>
      </c>
      <c r="U67" s="43">
        <v>31.5</v>
      </c>
      <c r="V67" s="43">
        <v>34.799999999999997</v>
      </c>
      <c r="W67" s="44">
        <v>26.8</v>
      </c>
      <c r="X67" s="44">
        <v>17.8</v>
      </c>
      <c r="Y67" s="44">
        <v>15.5</v>
      </c>
      <c r="Z67" s="44">
        <v>16.8</v>
      </c>
      <c r="AA67" s="44">
        <v>32</v>
      </c>
      <c r="AB67" s="44">
        <v>26.1</v>
      </c>
    </row>
    <row r="68" spans="1:28" ht="15" customHeight="1" x14ac:dyDescent="0.25">
      <c r="A68" s="41" t="s">
        <v>155</v>
      </c>
      <c r="B68" s="42">
        <v>13</v>
      </c>
      <c r="C68" s="42">
        <v>60</v>
      </c>
      <c r="D68" s="42">
        <v>90</v>
      </c>
      <c r="E68" s="42">
        <v>31</v>
      </c>
      <c r="F68" s="42">
        <v>48</v>
      </c>
      <c r="G68" s="42">
        <v>16</v>
      </c>
      <c r="H68" s="42">
        <v>31</v>
      </c>
      <c r="I68" s="42">
        <v>29</v>
      </c>
      <c r="J68" s="42">
        <v>43</v>
      </c>
      <c r="K68" s="42">
        <v>521</v>
      </c>
      <c r="L68" s="42">
        <v>1952</v>
      </c>
      <c r="M68" s="42">
        <v>2468</v>
      </c>
      <c r="N68" s="42">
        <v>1113</v>
      </c>
      <c r="O68" s="42">
        <v>2632</v>
      </c>
      <c r="P68" s="42">
        <v>632</v>
      </c>
      <c r="Q68" s="42">
        <v>1605</v>
      </c>
      <c r="R68" s="42">
        <v>878</v>
      </c>
      <c r="S68" s="42">
        <v>2203</v>
      </c>
      <c r="T68" s="43">
        <v>24.5</v>
      </c>
      <c r="U68" s="43">
        <v>30.5</v>
      </c>
      <c r="V68" s="43">
        <v>36.5</v>
      </c>
      <c r="W68" s="44">
        <v>27.7</v>
      </c>
      <c r="X68" s="44">
        <v>18.3</v>
      </c>
      <c r="Y68" s="44">
        <v>24.7</v>
      </c>
      <c r="Z68" s="44">
        <v>19.399999999999999</v>
      </c>
      <c r="AA68" s="44">
        <v>33.4</v>
      </c>
      <c r="AB68" s="44">
        <v>19.5</v>
      </c>
    </row>
    <row r="69" spans="1:28" ht="15" customHeight="1" x14ac:dyDescent="0.25">
      <c r="A69" s="35" t="s">
        <v>156</v>
      </c>
      <c r="B69" s="42">
        <v>27</v>
      </c>
      <c r="C69" s="42">
        <v>87</v>
      </c>
      <c r="D69" s="42">
        <v>115</v>
      </c>
      <c r="E69" s="42">
        <v>29</v>
      </c>
      <c r="F69" s="42">
        <v>63</v>
      </c>
      <c r="G69" s="42">
        <v>15</v>
      </c>
      <c r="H69" s="42">
        <v>37</v>
      </c>
      <c r="I69" s="42">
        <v>14</v>
      </c>
      <c r="J69" s="42">
        <v>72</v>
      </c>
      <c r="K69" s="42">
        <v>694</v>
      </c>
      <c r="L69" s="42">
        <v>1906</v>
      </c>
      <c r="M69" s="42">
        <v>2301</v>
      </c>
      <c r="N69" s="42">
        <v>842</v>
      </c>
      <c r="O69" s="42">
        <v>1940</v>
      </c>
      <c r="P69" s="42">
        <v>390</v>
      </c>
      <c r="Q69" s="42">
        <v>850</v>
      </c>
      <c r="R69" s="42">
        <v>571</v>
      </c>
      <c r="S69" s="42">
        <v>1999</v>
      </c>
      <c r="T69" s="43">
        <v>39</v>
      </c>
      <c r="U69" s="43">
        <v>45.9</v>
      </c>
      <c r="V69" s="43">
        <v>49.9</v>
      </c>
      <c r="W69" s="44">
        <v>34.5</v>
      </c>
      <c r="X69" s="44">
        <v>32.200000000000003</v>
      </c>
      <c r="Y69" s="44">
        <v>39.700000000000003</v>
      </c>
      <c r="Z69" s="44">
        <v>43.1</v>
      </c>
      <c r="AA69" s="44">
        <v>23.8</v>
      </c>
      <c r="AB69" s="44">
        <v>35.799999999999997</v>
      </c>
    </row>
    <row r="70" spans="1:28" ht="15" customHeight="1" x14ac:dyDescent="0.25">
      <c r="A70" s="41" t="s">
        <v>157</v>
      </c>
      <c r="B70" s="42" t="s">
        <v>28</v>
      </c>
      <c r="C70" s="42">
        <v>66</v>
      </c>
      <c r="D70" s="42">
        <v>65</v>
      </c>
      <c r="E70" s="42">
        <v>22</v>
      </c>
      <c r="F70" s="42">
        <v>54</v>
      </c>
      <c r="G70" s="42">
        <v>11</v>
      </c>
      <c r="H70" s="42">
        <v>36</v>
      </c>
      <c r="I70" s="42">
        <v>18</v>
      </c>
      <c r="J70" s="42">
        <v>37</v>
      </c>
      <c r="K70" s="42" t="s">
        <v>28</v>
      </c>
      <c r="L70" s="42">
        <v>1236</v>
      </c>
      <c r="M70" s="42">
        <v>1185</v>
      </c>
      <c r="N70" s="42">
        <v>612</v>
      </c>
      <c r="O70" s="42">
        <v>1140</v>
      </c>
      <c r="P70" s="42" t="s">
        <v>28</v>
      </c>
      <c r="Q70" s="42">
        <v>572</v>
      </c>
      <c r="R70" s="42">
        <v>360</v>
      </c>
      <c r="S70" s="42">
        <v>981</v>
      </c>
      <c r="T70" s="43" t="s">
        <v>28</v>
      </c>
      <c r="U70" s="43">
        <v>53.7</v>
      </c>
      <c r="V70" s="43">
        <v>55.2</v>
      </c>
      <c r="W70" s="44">
        <v>36.5</v>
      </c>
      <c r="X70" s="44">
        <v>47</v>
      </c>
      <c r="Y70" s="44" t="s">
        <v>28</v>
      </c>
      <c r="Z70" s="44">
        <v>63.4</v>
      </c>
      <c r="AA70" s="44">
        <v>49</v>
      </c>
      <c r="AB70" s="44">
        <v>38.1</v>
      </c>
    </row>
    <row r="71" spans="1:28" ht="15" customHeight="1" x14ac:dyDescent="0.25">
      <c r="A71" s="41" t="s">
        <v>158</v>
      </c>
      <c r="B71" s="36">
        <v>30</v>
      </c>
      <c r="C71" s="36">
        <v>116</v>
      </c>
      <c r="D71" s="36">
        <v>119</v>
      </c>
      <c r="E71" s="36">
        <v>36</v>
      </c>
      <c r="F71" s="36">
        <v>97</v>
      </c>
      <c r="G71" s="36">
        <v>40</v>
      </c>
      <c r="H71" s="36">
        <v>63</v>
      </c>
      <c r="I71" s="36">
        <v>66</v>
      </c>
      <c r="J71" s="36">
        <v>120</v>
      </c>
      <c r="K71" s="36">
        <v>386</v>
      </c>
      <c r="L71" s="36">
        <v>2124</v>
      </c>
      <c r="M71" s="36">
        <v>2175</v>
      </c>
      <c r="N71" s="36">
        <v>572</v>
      </c>
      <c r="O71" s="36">
        <v>2411</v>
      </c>
      <c r="P71" s="36">
        <v>886</v>
      </c>
      <c r="Q71" s="36">
        <v>1501</v>
      </c>
      <c r="R71" s="36">
        <v>947</v>
      </c>
      <c r="S71" s="36">
        <v>1824</v>
      </c>
      <c r="T71" s="37">
        <v>77.900000000000006</v>
      </c>
      <c r="U71" s="37">
        <v>54.6</v>
      </c>
      <c r="V71" s="37">
        <v>54.9</v>
      </c>
      <c r="W71" s="38">
        <v>62.3</v>
      </c>
      <c r="X71" s="38">
        <v>40.4</v>
      </c>
      <c r="Y71" s="38">
        <v>44.9</v>
      </c>
      <c r="Z71" s="38">
        <v>42.1</v>
      </c>
      <c r="AA71" s="38">
        <v>69.8</v>
      </c>
      <c r="AB71" s="38">
        <v>65.900000000000006</v>
      </c>
    </row>
    <row r="72" spans="1:28" ht="24" customHeight="1" x14ac:dyDescent="0.25">
      <c r="A72" s="40" t="s">
        <v>159</v>
      </c>
      <c r="B72" s="45" t="s">
        <v>16</v>
      </c>
      <c r="C72" s="45" t="s">
        <v>16</v>
      </c>
      <c r="D72" s="45" t="s">
        <v>16</v>
      </c>
      <c r="E72" s="45" t="s">
        <v>16</v>
      </c>
      <c r="F72" s="45" t="s">
        <v>16</v>
      </c>
      <c r="G72" s="45" t="s">
        <v>16</v>
      </c>
      <c r="H72" s="45" t="s">
        <v>16</v>
      </c>
      <c r="I72" s="45" t="s">
        <v>16</v>
      </c>
      <c r="J72" s="45" t="s">
        <v>16</v>
      </c>
      <c r="K72" s="45" t="s">
        <v>16</v>
      </c>
      <c r="L72" s="45" t="s">
        <v>16</v>
      </c>
      <c r="M72" s="45" t="s">
        <v>16</v>
      </c>
      <c r="N72" s="45" t="s">
        <v>16</v>
      </c>
      <c r="O72" s="45" t="s">
        <v>16</v>
      </c>
      <c r="P72" s="45" t="s">
        <v>16</v>
      </c>
      <c r="Q72" s="45" t="s">
        <v>16</v>
      </c>
      <c r="R72" s="45" t="s">
        <v>16</v>
      </c>
      <c r="S72" s="45" t="s">
        <v>16</v>
      </c>
      <c r="T72" s="46"/>
      <c r="U72" s="46"/>
      <c r="V72" s="46"/>
      <c r="W72" s="47"/>
      <c r="X72" s="47"/>
      <c r="Y72" s="47"/>
      <c r="Z72" s="47"/>
      <c r="AA72" s="47"/>
      <c r="AB72" s="47"/>
    </row>
    <row r="73" spans="1:28" ht="15" customHeight="1" x14ac:dyDescent="0.25">
      <c r="A73" s="35" t="s">
        <v>160</v>
      </c>
      <c r="B73" s="42">
        <v>86</v>
      </c>
      <c r="C73" s="42">
        <v>272</v>
      </c>
      <c r="D73" s="42">
        <v>368</v>
      </c>
      <c r="E73" s="42">
        <v>106</v>
      </c>
      <c r="F73" s="42">
        <v>243</v>
      </c>
      <c r="G73" s="42">
        <v>73</v>
      </c>
      <c r="H73" s="42">
        <v>156</v>
      </c>
      <c r="I73" s="42">
        <v>129</v>
      </c>
      <c r="J73" s="42">
        <v>271</v>
      </c>
      <c r="K73" s="42">
        <v>1711</v>
      </c>
      <c r="L73" s="42">
        <v>6805</v>
      </c>
      <c r="M73" s="42">
        <v>7865</v>
      </c>
      <c r="N73" s="42">
        <v>3174</v>
      </c>
      <c r="O73" s="42">
        <v>7732</v>
      </c>
      <c r="P73" s="42">
        <v>2372</v>
      </c>
      <c r="Q73" s="42">
        <v>4499</v>
      </c>
      <c r="R73" s="42">
        <v>2747</v>
      </c>
      <c r="S73" s="42">
        <v>7576</v>
      </c>
      <c r="T73" s="43">
        <v>50.4</v>
      </c>
      <c r="U73" s="43">
        <v>39.9</v>
      </c>
      <c r="V73" s="43">
        <v>46.8</v>
      </c>
      <c r="W73" s="44">
        <v>33.4</v>
      </c>
      <c r="X73" s="44">
        <v>31.4</v>
      </c>
      <c r="Y73" s="44">
        <v>31</v>
      </c>
      <c r="Z73" s="44">
        <v>34.6</v>
      </c>
      <c r="AA73" s="44">
        <v>47</v>
      </c>
      <c r="AB73" s="44">
        <v>35.799999999999997</v>
      </c>
    </row>
    <row r="74" spans="1:28" ht="15" customHeight="1" x14ac:dyDescent="0.25">
      <c r="A74" s="39" t="s">
        <v>161</v>
      </c>
      <c r="B74" s="42">
        <v>28</v>
      </c>
      <c r="C74" s="42">
        <v>143</v>
      </c>
      <c r="D74" s="42">
        <v>198</v>
      </c>
      <c r="E74" s="42">
        <v>67</v>
      </c>
      <c r="F74" s="42">
        <v>112</v>
      </c>
      <c r="G74" s="42">
        <v>46</v>
      </c>
      <c r="H74" s="42">
        <v>69</v>
      </c>
      <c r="I74" s="42">
        <v>79</v>
      </c>
      <c r="J74" s="42">
        <v>127</v>
      </c>
      <c r="K74" s="42">
        <v>601</v>
      </c>
      <c r="L74" s="42">
        <v>3185</v>
      </c>
      <c r="M74" s="42">
        <v>3945</v>
      </c>
      <c r="N74" s="42">
        <v>1757</v>
      </c>
      <c r="O74" s="42">
        <v>3144</v>
      </c>
      <c r="P74" s="42">
        <v>1270</v>
      </c>
      <c r="Q74" s="42">
        <v>2364</v>
      </c>
      <c r="R74" s="42">
        <v>1226</v>
      </c>
      <c r="S74" s="42">
        <v>3050</v>
      </c>
      <c r="T74" s="43">
        <v>45.8</v>
      </c>
      <c r="U74" s="43">
        <v>44.9</v>
      </c>
      <c r="V74" s="43">
        <v>50.1</v>
      </c>
      <c r="W74" s="44">
        <v>38.299999999999997</v>
      </c>
      <c r="X74" s="44">
        <v>35.5</v>
      </c>
      <c r="Y74" s="44">
        <v>36</v>
      </c>
      <c r="Z74" s="44">
        <v>29.3</v>
      </c>
      <c r="AA74" s="44">
        <v>64.3</v>
      </c>
      <c r="AB74" s="44">
        <v>41.7</v>
      </c>
    </row>
    <row r="75" spans="1:28" ht="15" customHeight="1" x14ac:dyDescent="0.25">
      <c r="A75" s="39" t="s">
        <v>162</v>
      </c>
      <c r="B75" s="42">
        <v>30</v>
      </c>
      <c r="C75" s="42">
        <v>101</v>
      </c>
      <c r="D75" s="42">
        <v>113</v>
      </c>
      <c r="E75" s="42">
        <v>27</v>
      </c>
      <c r="F75" s="42">
        <v>106</v>
      </c>
      <c r="G75" s="42">
        <v>19</v>
      </c>
      <c r="H75" s="42">
        <v>71</v>
      </c>
      <c r="I75" s="42">
        <v>33</v>
      </c>
      <c r="J75" s="42">
        <v>119</v>
      </c>
      <c r="K75" s="42">
        <v>661</v>
      </c>
      <c r="L75" s="42">
        <v>2643</v>
      </c>
      <c r="M75" s="42">
        <v>2714</v>
      </c>
      <c r="N75" s="42">
        <v>954</v>
      </c>
      <c r="O75" s="42">
        <v>3411</v>
      </c>
      <c r="P75" s="42">
        <v>883</v>
      </c>
      <c r="Q75" s="42">
        <v>1635</v>
      </c>
      <c r="R75" s="42">
        <v>1070</v>
      </c>
      <c r="S75" s="42">
        <v>3389</v>
      </c>
      <c r="T75" s="43">
        <v>44.8</v>
      </c>
      <c r="U75" s="43">
        <v>38.1</v>
      </c>
      <c r="V75" s="43">
        <v>41.8</v>
      </c>
      <c r="W75" s="44">
        <v>27.8</v>
      </c>
      <c r="X75" s="44">
        <v>31.1</v>
      </c>
      <c r="Y75" s="44">
        <v>21.5</v>
      </c>
      <c r="Z75" s="44">
        <v>43.3</v>
      </c>
      <c r="AA75" s="44">
        <v>31.2</v>
      </c>
      <c r="AB75" s="44">
        <v>35.1</v>
      </c>
    </row>
    <row r="76" spans="1:28" ht="15" customHeight="1" x14ac:dyDescent="0.25">
      <c r="A76" s="39" t="s">
        <v>163</v>
      </c>
      <c r="B76" s="42">
        <v>29</v>
      </c>
      <c r="C76" s="42">
        <v>27</v>
      </c>
      <c r="D76" s="42">
        <v>56</v>
      </c>
      <c r="E76" s="42">
        <v>11</v>
      </c>
      <c r="F76" s="42">
        <v>25</v>
      </c>
      <c r="G76" s="42">
        <v>9</v>
      </c>
      <c r="H76" s="42">
        <v>15</v>
      </c>
      <c r="I76" s="42">
        <v>17</v>
      </c>
      <c r="J76" s="42">
        <v>24</v>
      </c>
      <c r="K76" s="42">
        <v>421</v>
      </c>
      <c r="L76" s="42">
        <v>945</v>
      </c>
      <c r="M76" s="42">
        <v>1127</v>
      </c>
      <c r="N76" s="42">
        <v>419</v>
      </c>
      <c r="O76" s="42">
        <v>1169</v>
      </c>
      <c r="P76" s="42">
        <v>207</v>
      </c>
      <c r="Q76" s="42">
        <v>484</v>
      </c>
      <c r="R76" s="42">
        <v>452</v>
      </c>
      <c r="S76" s="42">
        <v>1030</v>
      </c>
      <c r="T76" s="43">
        <v>69</v>
      </c>
      <c r="U76" s="43">
        <v>28.9</v>
      </c>
      <c r="V76" s="43">
        <v>49.3</v>
      </c>
      <c r="W76" s="44">
        <v>27.5</v>
      </c>
      <c r="X76" s="44">
        <v>21.7</v>
      </c>
      <c r="Y76" s="44">
        <v>41.7</v>
      </c>
      <c r="Z76" s="44">
        <v>32</v>
      </c>
      <c r="AA76" s="44">
        <v>37.5</v>
      </c>
      <c r="AB76" s="44">
        <v>22.9</v>
      </c>
    </row>
    <row r="77" spans="1:28" ht="15" customHeight="1" x14ac:dyDescent="0.25">
      <c r="A77" s="39" t="s">
        <v>164</v>
      </c>
      <c r="B77" s="42" t="s">
        <v>28</v>
      </c>
      <c r="C77" s="42" t="s">
        <v>28</v>
      </c>
      <c r="D77" s="42" t="s">
        <v>28</v>
      </c>
      <c r="E77" s="42" t="s">
        <v>28</v>
      </c>
      <c r="F77" s="42" t="s">
        <v>28</v>
      </c>
      <c r="G77" s="42" t="s">
        <v>28</v>
      </c>
      <c r="H77" s="42" t="s">
        <v>28</v>
      </c>
      <c r="I77" s="42" t="s">
        <v>127</v>
      </c>
      <c r="J77" s="42" t="s">
        <v>28</v>
      </c>
      <c r="K77" s="42" t="s">
        <v>28</v>
      </c>
      <c r="L77" s="42" t="s">
        <v>28</v>
      </c>
      <c r="M77" s="42" t="s">
        <v>28</v>
      </c>
      <c r="N77" s="42" t="s">
        <v>28</v>
      </c>
      <c r="O77" s="42" t="s">
        <v>28</v>
      </c>
      <c r="P77" s="42" t="s">
        <v>28</v>
      </c>
      <c r="Q77" s="42" t="s">
        <v>28</v>
      </c>
      <c r="R77" s="42" t="s">
        <v>127</v>
      </c>
      <c r="S77" s="42" t="s">
        <v>28</v>
      </c>
      <c r="T77" s="43" t="s">
        <v>28</v>
      </c>
      <c r="U77" s="43" t="s">
        <v>28</v>
      </c>
      <c r="V77" s="43" t="s">
        <v>28</v>
      </c>
      <c r="W77" s="44" t="s">
        <v>28</v>
      </c>
      <c r="X77" s="44" t="s">
        <v>28</v>
      </c>
      <c r="Y77" s="44" t="s">
        <v>28</v>
      </c>
      <c r="Z77" s="44" t="s">
        <v>28</v>
      </c>
      <c r="AA77" s="44" t="s">
        <v>127</v>
      </c>
      <c r="AB77" s="44" t="s">
        <v>28</v>
      </c>
    </row>
    <row r="78" spans="1:28" ht="15" customHeight="1" x14ac:dyDescent="0.25">
      <c r="A78" s="41" t="s">
        <v>165</v>
      </c>
      <c r="B78" s="42">
        <v>22</v>
      </c>
      <c r="C78" s="42">
        <v>108</v>
      </c>
      <c r="D78" s="42">
        <v>114</v>
      </c>
      <c r="E78" s="42">
        <v>39</v>
      </c>
      <c r="F78" s="42">
        <v>55</v>
      </c>
      <c r="G78" s="42">
        <v>28</v>
      </c>
      <c r="H78" s="42">
        <v>46</v>
      </c>
      <c r="I78" s="42">
        <v>30</v>
      </c>
      <c r="J78" s="42">
        <v>49</v>
      </c>
      <c r="K78" s="42">
        <v>530</v>
      </c>
      <c r="L78" s="42">
        <v>2022</v>
      </c>
      <c r="M78" s="42">
        <v>2924</v>
      </c>
      <c r="N78" s="42">
        <v>1061</v>
      </c>
      <c r="O78" s="42">
        <v>2253</v>
      </c>
      <c r="P78" s="42">
        <v>1064</v>
      </c>
      <c r="Q78" s="42">
        <v>1981</v>
      </c>
      <c r="R78" s="42">
        <v>1019</v>
      </c>
      <c r="S78" s="42">
        <v>1390</v>
      </c>
      <c r="T78" s="43">
        <v>40.9</v>
      </c>
      <c r="U78" s="43">
        <v>53.3</v>
      </c>
      <c r="V78" s="43">
        <v>38.9</v>
      </c>
      <c r="W78" s="44">
        <v>36.700000000000003</v>
      </c>
      <c r="X78" s="44">
        <v>24.3</v>
      </c>
      <c r="Y78" s="44">
        <v>25.9</v>
      </c>
      <c r="Z78" s="44">
        <v>23.1</v>
      </c>
      <c r="AA78" s="44">
        <v>29.8</v>
      </c>
      <c r="AB78" s="44">
        <v>35</v>
      </c>
    </row>
    <row r="79" spans="1:28" ht="15" customHeight="1" x14ac:dyDescent="0.25">
      <c r="A79" s="39" t="s">
        <v>166</v>
      </c>
      <c r="B79" s="42" t="s">
        <v>127</v>
      </c>
      <c r="C79" s="42" t="s">
        <v>28</v>
      </c>
      <c r="D79" s="42" t="s">
        <v>28</v>
      </c>
      <c r="E79" s="42" t="s">
        <v>28</v>
      </c>
      <c r="F79" s="42">
        <v>7</v>
      </c>
      <c r="G79" s="42" t="s">
        <v>28</v>
      </c>
      <c r="H79" s="42" t="s">
        <v>28</v>
      </c>
      <c r="I79" s="42" t="s">
        <v>28</v>
      </c>
      <c r="J79" s="42" t="s">
        <v>28</v>
      </c>
      <c r="K79" s="42" t="s">
        <v>127</v>
      </c>
      <c r="L79" s="42" t="s">
        <v>28</v>
      </c>
      <c r="M79" s="42" t="s">
        <v>28</v>
      </c>
      <c r="N79" s="42" t="s">
        <v>28</v>
      </c>
      <c r="O79" s="42">
        <v>280</v>
      </c>
      <c r="P79" s="42" t="s">
        <v>28</v>
      </c>
      <c r="Q79" s="42" t="s">
        <v>28</v>
      </c>
      <c r="R79" s="42" t="s">
        <v>28</v>
      </c>
      <c r="S79" s="42" t="s">
        <v>28</v>
      </c>
      <c r="T79" s="43" t="s">
        <v>127</v>
      </c>
      <c r="U79" s="43" t="s">
        <v>28</v>
      </c>
      <c r="V79" s="43" t="s">
        <v>28</v>
      </c>
      <c r="W79" s="44" t="s">
        <v>28</v>
      </c>
      <c r="X79" s="44">
        <v>23.6</v>
      </c>
      <c r="Y79" s="44" t="s">
        <v>28</v>
      </c>
      <c r="Z79" s="44" t="s">
        <v>28</v>
      </c>
      <c r="AA79" s="44" t="s">
        <v>28</v>
      </c>
      <c r="AB79" s="44" t="s">
        <v>28</v>
      </c>
    </row>
    <row r="80" spans="1:28" ht="15" customHeight="1" x14ac:dyDescent="0.25">
      <c r="A80" s="39" t="s">
        <v>167</v>
      </c>
      <c r="B80" s="42" t="s">
        <v>28</v>
      </c>
      <c r="C80" s="42" t="s">
        <v>28</v>
      </c>
      <c r="D80" s="42">
        <v>31</v>
      </c>
      <c r="E80" s="42" t="s">
        <v>28</v>
      </c>
      <c r="F80" s="42">
        <v>13</v>
      </c>
      <c r="G80" s="42">
        <v>16</v>
      </c>
      <c r="H80" s="42">
        <v>13</v>
      </c>
      <c r="I80" s="42">
        <v>10</v>
      </c>
      <c r="J80" s="42">
        <v>17</v>
      </c>
      <c r="K80" s="42" t="s">
        <v>28</v>
      </c>
      <c r="L80" s="42">
        <v>809</v>
      </c>
      <c r="M80" s="42">
        <v>667</v>
      </c>
      <c r="N80" s="42" t="s">
        <v>28</v>
      </c>
      <c r="O80" s="42">
        <v>345</v>
      </c>
      <c r="P80" s="42" t="s">
        <v>28</v>
      </c>
      <c r="Q80" s="42">
        <v>544</v>
      </c>
      <c r="R80" s="42">
        <v>358</v>
      </c>
      <c r="S80" s="42">
        <v>430</v>
      </c>
      <c r="T80" s="43" t="s">
        <v>28</v>
      </c>
      <c r="U80" s="43">
        <v>71.7</v>
      </c>
      <c r="V80" s="43">
        <v>46.6</v>
      </c>
      <c r="W80" s="44" t="s">
        <v>28</v>
      </c>
      <c r="X80" s="44">
        <v>38.700000000000003</v>
      </c>
      <c r="Y80" s="44">
        <v>29.7</v>
      </c>
      <c r="Z80" s="44">
        <v>23.4</v>
      </c>
      <c r="AA80" s="44">
        <v>28.7</v>
      </c>
      <c r="AB80" s="44">
        <v>38.6</v>
      </c>
    </row>
    <row r="81" spans="1:28" ht="15" customHeight="1" x14ac:dyDescent="0.25">
      <c r="A81" s="39" t="s">
        <v>168</v>
      </c>
      <c r="B81" s="42">
        <v>20</v>
      </c>
      <c r="C81" s="42">
        <v>47</v>
      </c>
      <c r="D81" s="42">
        <v>78</v>
      </c>
      <c r="E81" s="42">
        <v>32</v>
      </c>
      <c r="F81" s="42">
        <v>35</v>
      </c>
      <c r="G81" s="42">
        <v>9</v>
      </c>
      <c r="H81" s="42">
        <v>31</v>
      </c>
      <c r="I81" s="42">
        <v>15</v>
      </c>
      <c r="J81" s="42">
        <v>28</v>
      </c>
      <c r="K81" s="42">
        <v>444</v>
      </c>
      <c r="L81" s="42">
        <v>1154</v>
      </c>
      <c r="M81" s="42">
        <v>2063</v>
      </c>
      <c r="N81" s="42">
        <v>858</v>
      </c>
      <c r="O81" s="42">
        <v>1628</v>
      </c>
      <c r="P81" s="42">
        <v>434</v>
      </c>
      <c r="Q81" s="42">
        <v>1380</v>
      </c>
      <c r="R81" s="42">
        <v>605</v>
      </c>
      <c r="S81" s="42">
        <v>874</v>
      </c>
      <c r="T81" s="43">
        <v>45.1</v>
      </c>
      <c r="U81" s="43">
        <v>40.700000000000003</v>
      </c>
      <c r="V81" s="43">
        <v>37.6</v>
      </c>
      <c r="W81" s="44">
        <v>37.1</v>
      </c>
      <c r="X81" s="44">
        <v>21.3</v>
      </c>
      <c r="Y81" s="44">
        <v>21.7</v>
      </c>
      <c r="Z81" s="44">
        <v>22.5</v>
      </c>
      <c r="AA81" s="44">
        <v>25.5</v>
      </c>
      <c r="AB81" s="44">
        <v>31.5</v>
      </c>
    </row>
    <row r="82" spans="1:28" ht="45.95" customHeight="1" x14ac:dyDescent="0.25">
      <c r="A82" s="40" t="s">
        <v>169</v>
      </c>
      <c r="B82" s="45" t="s">
        <v>16</v>
      </c>
      <c r="C82" s="45" t="s">
        <v>16</v>
      </c>
      <c r="D82" s="45" t="s">
        <v>16</v>
      </c>
      <c r="E82" s="45" t="s">
        <v>16</v>
      </c>
      <c r="F82" s="45" t="s">
        <v>16</v>
      </c>
      <c r="G82" s="45" t="s">
        <v>16</v>
      </c>
      <c r="H82" s="45" t="s">
        <v>16</v>
      </c>
      <c r="I82" s="45" t="s">
        <v>16</v>
      </c>
      <c r="J82" s="45" t="s">
        <v>16</v>
      </c>
      <c r="K82" s="45" t="s">
        <v>16</v>
      </c>
      <c r="L82" s="45" t="s">
        <v>16</v>
      </c>
      <c r="M82" s="45" t="s">
        <v>16</v>
      </c>
      <c r="N82" s="45" t="s">
        <v>16</v>
      </c>
      <c r="O82" s="45" t="s">
        <v>16</v>
      </c>
      <c r="P82" s="45" t="s">
        <v>16</v>
      </c>
      <c r="Q82" s="45" t="s">
        <v>16</v>
      </c>
      <c r="R82" s="45" t="s">
        <v>16</v>
      </c>
      <c r="S82" s="45" t="s">
        <v>16</v>
      </c>
      <c r="T82" s="46"/>
      <c r="U82" s="46"/>
      <c r="V82" s="46"/>
      <c r="W82" s="47"/>
      <c r="X82" s="47"/>
      <c r="Y82" s="47"/>
      <c r="Z82" s="47"/>
      <c r="AA82" s="47"/>
      <c r="AB82" s="47"/>
    </row>
    <row r="83" spans="1:28" ht="15" customHeight="1" x14ac:dyDescent="0.25">
      <c r="A83" s="35" t="s">
        <v>170</v>
      </c>
      <c r="B83" s="42">
        <v>88</v>
      </c>
      <c r="C83" s="42">
        <v>309</v>
      </c>
      <c r="D83" s="42">
        <v>423</v>
      </c>
      <c r="E83" s="42">
        <v>127</v>
      </c>
      <c r="F83" s="42">
        <v>222</v>
      </c>
      <c r="G83" s="42">
        <v>85</v>
      </c>
      <c r="H83" s="42">
        <v>165</v>
      </c>
      <c r="I83" s="42">
        <v>139</v>
      </c>
      <c r="J83" s="42">
        <v>248</v>
      </c>
      <c r="K83" s="42">
        <v>1807</v>
      </c>
      <c r="L83" s="42">
        <v>7541</v>
      </c>
      <c r="M83" s="42">
        <v>9384</v>
      </c>
      <c r="N83" s="42">
        <v>3695</v>
      </c>
      <c r="O83" s="42">
        <v>7789</v>
      </c>
      <c r="P83" s="42">
        <v>2874</v>
      </c>
      <c r="Q83" s="42">
        <v>5701</v>
      </c>
      <c r="R83" s="42">
        <v>3254</v>
      </c>
      <c r="S83" s="42">
        <v>7055</v>
      </c>
      <c r="T83" s="43">
        <v>48.9</v>
      </c>
      <c r="U83" s="43">
        <v>41</v>
      </c>
      <c r="V83" s="43">
        <v>45.1</v>
      </c>
      <c r="W83" s="44">
        <v>34.299999999999997</v>
      </c>
      <c r="X83" s="44">
        <v>28.5</v>
      </c>
      <c r="Y83" s="44">
        <v>29.5</v>
      </c>
      <c r="Z83" s="44">
        <v>29</v>
      </c>
      <c r="AA83" s="44">
        <v>42.9</v>
      </c>
      <c r="AB83" s="44">
        <v>35.1</v>
      </c>
    </row>
    <row r="84" spans="1:28" ht="15" customHeight="1" x14ac:dyDescent="0.25">
      <c r="A84" s="41" t="s">
        <v>171</v>
      </c>
      <c r="B84" s="42">
        <v>12</v>
      </c>
      <c r="C84" s="42">
        <v>63</v>
      </c>
      <c r="D84" s="42">
        <v>51</v>
      </c>
      <c r="E84" s="42">
        <v>15</v>
      </c>
      <c r="F84" s="42">
        <v>65</v>
      </c>
      <c r="G84" s="42">
        <v>13</v>
      </c>
      <c r="H84" s="42">
        <v>33</v>
      </c>
      <c r="I84" s="42" t="s">
        <v>28</v>
      </c>
      <c r="J84" s="42">
        <v>64</v>
      </c>
      <c r="K84" s="42">
        <v>347</v>
      </c>
      <c r="L84" s="42">
        <v>1074</v>
      </c>
      <c r="M84" s="42">
        <v>1153</v>
      </c>
      <c r="N84" s="42">
        <v>420</v>
      </c>
      <c r="O84" s="42">
        <v>1865</v>
      </c>
      <c r="P84" s="42" t="s">
        <v>28</v>
      </c>
      <c r="Q84" s="42">
        <v>717</v>
      </c>
      <c r="R84" s="42" t="s">
        <v>28</v>
      </c>
      <c r="S84" s="42">
        <v>1765</v>
      </c>
      <c r="T84" s="43">
        <v>33.200000000000003</v>
      </c>
      <c r="U84" s="43">
        <v>58.4</v>
      </c>
      <c r="V84" s="43">
        <v>44.3</v>
      </c>
      <c r="W84" s="44">
        <v>34.9</v>
      </c>
      <c r="X84" s="44">
        <v>34.9</v>
      </c>
      <c r="Y84" s="44">
        <v>29.8</v>
      </c>
      <c r="Z84" s="44">
        <v>46.6</v>
      </c>
      <c r="AA84" s="44">
        <v>40.9</v>
      </c>
      <c r="AB84" s="44">
        <v>36.200000000000003</v>
      </c>
    </row>
    <row r="85" spans="1:28" ht="15" customHeight="1" x14ac:dyDescent="0.25">
      <c r="A85" s="41" t="s">
        <v>172</v>
      </c>
      <c r="B85" s="42" t="s">
        <v>28</v>
      </c>
      <c r="C85" s="42" t="s">
        <v>28</v>
      </c>
      <c r="D85" s="42" t="s">
        <v>28</v>
      </c>
      <c r="E85" s="42" t="s">
        <v>28</v>
      </c>
      <c r="F85" s="42" t="s">
        <v>28</v>
      </c>
      <c r="G85" s="42" t="s">
        <v>28</v>
      </c>
      <c r="H85" s="42" t="s">
        <v>28</v>
      </c>
      <c r="I85" s="42" t="s">
        <v>28</v>
      </c>
      <c r="J85" s="42" t="s">
        <v>28</v>
      </c>
      <c r="K85" s="42" t="s">
        <v>28</v>
      </c>
      <c r="L85" s="42" t="s">
        <v>28</v>
      </c>
      <c r="M85" s="42" t="s">
        <v>28</v>
      </c>
      <c r="N85" s="42" t="s">
        <v>28</v>
      </c>
      <c r="O85" s="42" t="s">
        <v>28</v>
      </c>
      <c r="P85" s="42" t="s">
        <v>28</v>
      </c>
      <c r="Q85" s="42" t="s">
        <v>28</v>
      </c>
      <c r="R85" s="42" t="s">
        <v>28</v>
      </c>
      <c r="S85" s="42" t="s">
        <v>28</v>
      </c>
      <c r="T85" s="43" t="s">
        <v>28</v>
      </c>
      <c r="U85" s="43" t="s">
        <v>28</v>
      </c>
      <c r="V85" s="43" t="s">
        <v>28</v>
      </c>
      <c r="W85" s="44" t="s">
        <v>28</v>
      </c>
      <c r="X85" s="44" t="s">
        <v>28</v>
      </c>
      <c r="Y85" s="44" t="s">
        <v>28</v>
      </c>
      <c r="Z85" s="44" t="s">
        <v>28</v>
      </c>
      <c r="AA85" s="44" t="s">
        <v>28</v>
      </c>
      <c r="AB85" s="44" t="s">
        <v>28</v>
      </c>
    </row>
    <row r="86" spans="1:28" ht="15" customHeight="1" x14ac:dyDescent="0.25">
      <c r="A86" s="35" t="s">
        <v>173</v>
      </c>
      <c r="B86" s="42" t="s">
        <v>28</v>
      </c>
      <c r="C86" s="42" t="s">
        <v>28</v>
      </c>
      <c r="D86" s="42" t="s">
        <v>28</v>
      </c>
      <c r="E86" s="42" t="s">
        <v>28</v>
      </c>
      <c r="F86" s="42" t="s">
        <v>28</v>
      </c>
      <c r="G86" s="42" t="s">
        <v>28</v>
      </c>
      <c r="H86" s="42" t="s">
        <v>28</v>
      </c>
      <c r="I86" s="42" t="s">
        <v>28</v>
      </c>
      <c r="J86" s="42" t="s">
        <v>28</v>
      </c>
      <c r="K86" s="42" t="s">
        <v>28</v>
      </c>
      <c r="L86" s="42" t="s">
        <v>28</v>
      </c>
      <c r="M86" s="42" t="s">
        <v>28</v>
      </c>
      <c r="N86" s="42" t="s">
        <v>28</v>
      </c>
      <c r="O86" s="42" t="s">
        <v>28</v>
      </c>
      <c r="P86" s="42" t="s">
        <v>28</v>
      </c>
      <c r="Q86" s="42" t="s">
        <v>28</v>
      </c>
      <c r="R86" s="42" t="s">
        <v>28</v>
      </c>
      <c r="S86" s="42" t="s">
        <v>28</v>
      </c>
      <c r="T86" s="43" t="s">
        <v>28</v>
      </c>
      <c r="U86" s="43" t="s">
        <v>28</v>
      </c>
      <c r="V86" s="43" t="s">
        <v>28</v>
      </c>
      <c r="W86" s="44" t="s">
        <v>28</v>
      </c>
      <c r="X86" s="44" t="s">
        <v>28</v>
      </c>
      <c r="Y86" s="44" t="s">
        <v>28</v>
      </c>
      <c r="Z86" s="44" t="s">
        <v>28</v>
      </c>
      <c r="AA86" s="44" t="s">
        <v>28</v>
      </c>
      <c r="AB86" s="44" t="s">
        <v>28</v>
      </c>
    </row>
    <row r="87" spans="1:28" ht="33.950000000000003" customHeight="1" x14ac:dyDescent="0.25">
      <c r="A87" s="40" t="s">
        <v>174</v>
      </c>
      <c r="B87" s="45" t="s">
        <v>16</v>
      </c>
      <c r="C87" s="45" t="s">
        <v>16</v>
      </c>
      <c r="D87" s="45" t="s">
        <v>16</v>
      </c>
      <c r="E87" s="45" t="s">
        <v>16</v>
      </c>
      <c r="F87" s="45" t="s">
        <v>16</v>
      </c>
      <c r="G87" s="45" t="s">
        <v>16</v>
      </c>
      <c r="H87" s="45" t="s">
        <v>16</v>
      </c>
      <c r="I87" s="45" t="s">
        <v>16</v>
      </c>
      <c r="J87" s="45" t="s">
        <v>16</v>
      </c>
      <c r="K87" s="45" t="s">
        <v>16</v>
      </c>
      <c r="L87" s="45" t="s">
        <v>16</v>
      </c>
      <c r="M87" s="45" t="s">
        <v>16</v>
      </c>
      <c r="N87" s="45" t="s">
        <v>16</v>
      </c>
      <c r="O87" s="45" t="s">
        <v>16</v>
      </c>
      <c r="P87" s="45" t="s">
        <v>16</v>
      </c>
      <c r="Q87" s="45" t="s">
        <v>16</v>
      </c>
      <c r="R87" s="45" t="s">
        <v>16</v>
      </c>
      <c r="S87" s="45" t="s">
        <v>16</v>
      </c>
      <c r="T87" s="46"/>
      <c r="U87" s="46"/>
      <c r="V87" s="46"/>
      <c r="W87" s="47"/>
      <c r="X87" s="47"/>
      <c r="Y87" s="47"/>
      <c r="Z87" s="47"/>
      <c r="AA87" s="47"/>
      <c r="AB87" s="47"/>
    </row>
    <row r="88" spans="1:28" ht="15" customHeight="1" x14ac:dyDescent="0.25">
      <c r="A88" s="35" t="s">
        <v>170</v>
      </c>
      <c r="B88" s="42">
        <v>91</v>
      </c>
      <c r="C88" s="42">
        <v>315</v>
      </c>
      <c r="D88" s="42">
        <v>431</v>
      </c>
      <c r="E88" s="42">
        <v>132</v>
      </c>
      <c r="F88" s="42">
        <v>234</v>
      </c>
      <c r="G88" s="42">
        <v>88</v>
      </c>
      <c r="H88" s="42">
        <v>165</v>
      </c>
      <c r="I88" s="42">
        <v>149</v>
      </c>
      <c r="J88" s="42">
        <v>263</v>
      </c>
      <c r="K88" s="42">
        <v>1867</v>
      </c>
      <c r="L88" s="42">
        <v>7629</v>
      </c>
      <c r="M88" s="42">
        <v>9569</v>
      </c>
      <c r="N88" s="42">
        <v>3877</v>
      </c>
      <c r="O88" s="42">
        <v>8220</v>
      </c>
      <c r="P88" s="42">
        <v>3008</v>
      </c>
      <c r="Q88" s="42">
        <v>5758</v>
      </c>
      <c r="R88" s="42">
        <v>3442</v>
      </c>
      <c r="S88" s="42">
        <v>7577</v>
      </c>
      <c r="T88" s="43">
        <v>48.8</v>
      </c>
      <c r="U88" s="43">
        <v>41.3</v>
      </c>
      <c r="V88" s="43">
        <v>45.1</v>
      </c>
      <c r="W88" s="44">
        <v>34.1</v>
      </c>
      <c r="X88" s="44">
        <v>28.4</v>
      </c>
      <c r="Y88" s="44">
        <v>29.1</v>
      </c>
      <c r="Z88" s="44">
        <v>28.7</v>
      </c>
      <c r="AA88" s="44">
        <v>43.2</v>
      </c>
      <c r="AB88" s="44">
        <v>34.700000000000003</v>
      </c>
    </row>
    <row r="89" spans="1:28" ht="15" customHeight="1" x14ac:dyDescent="0.25">
      <c r="A89" s="41" t="s">
        <v>171</v>
      </c>
      <c r="B89" s="42" t="s">
        <v>28</v>
      </c>
      <c r="C89" s="42">
        <v>51</v>
      </c>
      <c r="D89" s="42">
        <v>38</v>
      </c>
      <c r="E89" s="42">
        <v>10</v>
      </c>
      <c r="F89" s="42">
        <v>52</v>
      </c>
      <c r="G89" s="42">
        <v>9</v>
      </c>
      <c r="H89" s="42">
        <v>29</v>
      </c>
      <c r="I89" s="42">
        <v>10</v>
      </c>
      <c r="J89" s="42">
        <v>51</v>
      </c>
      <c r="K89" s="42" t="s">
        <v>28</v>
      </c>
      <c r="L89" s="42">
        <v>830</v>
      </c>
      <c r="M89" s="42">
        <v>884</v>
      </c>
      <c r="N89" s="42">
        <v>265</v>
      </c>
      <c r="O89" s="42">
        <v>1449</v>
      </c>
      <c r="P89" s="42" t="s">
        <v>28</v>
      </c>
      <c r="Q89" s="42">
        <v>587</v>
      </c>
      <c r="R89" s="42">
        <v>248</v>
      </c>
      <c r="S89" s="42">
        <v>1229</v>
      </c>
      <c r="T89" s="43" t="s">
        <v>28</v>
      </c>
      <c r="U89" s="43">
        <v>61.2</v>
      </c>
      <c r="V89" s="43">
        <v>43.5</v>
      </c>
      <c r="W89" s="44">
        <v>38.799999999999997</v>
      </c>
      <c r="X89" s="44">
        <v>35.799999999999997</v>
      </c>
      <c r="Y89" s="44" t="s">
        <v>28</v>
      </c>
      <c r="Z89" s="44">
        <v>48.7</v>
      </c>
      <c r="AA89" s="44">
        <v>38.700000000000003</v>
      </c>
      <c r="AB89" s="44">
        <v>41.6</v>
      </c>
    </row>
    <row r="90" spans="1:28" ht="15" customHeight="1" x14ac:dyDescent="0.25">
      <c r="A90" s="41" t="s">
        <v>172</v>
      </c>
      <c r="B90" s="42" t="s">
        <v>28</v>
      </c>
      <c r="C90" s="42" t="s">
        <v>28</v>
      </c>
      <c r="D90" s="42" t="s">
        <v>28</v>
      </c>
      <c r="E90" s="42" t="s">
        <v>28</v>
      </c>
      <c r="F90" s="42" t="s">
        <v>28</v>
      </c>
      <c r="G90" s="42" t="s">
        <v>28</v>
      </c>
      <c r="H90" s="42" t="s">
        <v>28</v>
      </c>
      <c r="I90" s="42" t="s">
        <v>127</v>
      </c>
      <c r="J90" s="42" t="s">
        <v>28</v>
      </c>
      <c r="K90" s="42" t="s">
        <v>28</v>
      </c>
      <c r="L90" s="42" t="s">
        <v>28</v>
      </c>
      <c r="M90" s="42" t="s">
        <v>28</v>
      </c>
      <c r="N90" s="42" t="s">
        <v>28</v>
      </c>
      <c r="O90" s="42" t="s">
        <v>28</v>
      </c>
      <c r="P90" s="42" t="s">
        <v>28</v>
      </c>
      <c r="Q90" s="42" t="s">
        <v>28</v>
      </c>
      <c r="R90" s="42" t="s">
        <v>127</v>
      </c>
      <c r="S90" s="42" t="s">
        <v>28</v>
      </c>
      <c r="T90" s="43" t="s">
        <v>28</v>
      </c>
      <c r="U90" s="43" t="s">
        <v>28</v>
      </c>
      <c r="V90" s="43" t="s">
        <v>28</v>
      </c>
      <c r="W90" s="44" t="s">
        <v>28</v>
      </c>
      <c r="X90" s="44" t="s">
        <v>28</v>
      </c>
      <c r="Y90" s="44" t="s">
        <v>28</v>
      </c>
      <c r="Z90" s="44" t="s">
        <v>28</v>
      </c>
      <c r="AA90" s="44" t="s">
        <v>127</v>
      </c>
      <c r="AB90" s="44" t="s">
        <v>28</v>
      </c>
    </row>
    <row r="91" spans="1:28" ht="15" customHeight="1" x14ac:dyDescent="0.25">
      <c r="A91" s="35" t="s">
        <v>173</v>
      </c>
      <c r="B91" s="42" t="s">
        <v>28</v>
      </c>
      <c r="C91" s="42" t="s">
        <v>28</v>
      </c>
      <c r="D91" s="42" t="s">
        <v>28</v>
      </c>
      <c r="E91" s="42" t="s">
        <v>28</v>
      </c>
      <c r="F91" s="42" t="s">
        <v>28</v>
      </c>
      <c r="G91" s="42" t="s">
        <v>28</v>
      </c>
      <c r="H91" s="42" t="s">
        <v>28</v>
      </c>
      <c r="I91" s="42" t="s">
        <v>28</v>
      </c>
      <c r="J91" s="42" t="s">
        <v>28</v>
      </c>
      <c r="K91" s="42" t="s">
        <v>28</v>
      </c>
      <c r="L91" s="42" t="s">
        <v>28</v>
      </c>
      <c r="M91" s="42" t="s">
        <v>28</v>
      </c>
      <c r="N91" s="42" t="s">
        <v>28</v>
      </c>
      <c r="O91" s="42" t="s">
        <v>28</v>
      </c>
      <c r="P91" s="42" t="s">
        <v>28</v>
      </c>
      <c r="Q91" s="42" t="s">
        <v>28</v>
      </c>
      <c r="R91" s="42" t="s">
        <v>28</v>
      </c>
      <c r="S91" s="42" t="s">
        <v>28</v>
      </c>
      <c r="T91" s="43" t="s">
        <v>28</v>
      </c>
      <c r="U91" s="43" t="s">
        <v>28</v>
      </c>
      <c r="V91" s="43" t="s">
        <v>28</v>
      </c>
      <c r="W91" s="44" t="s">
        <v>28</v>
      </c>
      <c r="X91" s="44" t="s">
        <v>28</v>
      </c>
      <c r="Y91" s="44" t="s">
        <v>28</v>
      </c>
      <c r="Z91" s="44" t="s">
        <v>28</v>
      </c>
      <c r="AA91" s="44" t="s">
        <v>28</v>
      </c>
      <c r="AB91" s="44" t="s">
        <v>28</v>
      </c>
    </row>
    <row r="92" spans="1:28" ht="24" customHeight="1" x14ac:dyDescent="0.25">
      <c r="A92" s="40" t="s">
        <v>175</v>
      </c>
      <c r="B92" s="45" t="s">
        <v>16</v>
      </c>
      <c r="C92" s="45" t="s">
        <v>16</v>
      </c>
      <c r="D92" s="45" t="s">
        <v>16</v>
      </c>
      <c r="E92" s="45" t="s">
        <v>16</v>
      </c>
      <c r="F92" s="45" t="s">
        <v>16</v>
      </c>
      <c r="G92" s="45" t="s">
        <v>16</v>
      </c>
      <c r="H92" s="45" t="s">
        <v>16</v>
      </c>
      <c r="I92" s="45" t="s">
        <v>16</v>
      </c>
      <c r="J92" s="45" t="s">
        <v>16</v>
      </c>
      <c r="K92" s="45" t="s">
        <v>16</v>
      </c>
      <c r="L92" s="45" t="s">
        <v>16</v>
      </c>
      <c r="M92" s="45" t="s">
        <v>16</v>
      </c>
      <c r="N92" s="45" t="s">
        <v>16</v>
      </c>
      <c r="O92" s="45" t="s">
        <v>16</v>
      </c>
      <c r="P92" s="45" t="s">
        <v>16</v>
      </c>
      <c r="Q92" s="45" t="s">
        <v>16</v>
      </c>
      <c r="R92" s="45" t="s">
        <v>16</v>
      </c>
      <c r="S92" s="45" t="s">
        <v>16</v>
      </c>
      <c r="T92" s="46"/>
      <c r="U92" s="46"/>
      <c r="V92" s="46"/>
      <c r="W92" s="47"/>
      <c r="X92" s="47"/>
      <c r="Y92" s="47"/>
      <c r="Z92" s="47"/>
      <c r="AA92" s="47"/>
      <c r="AB92" s="47"/>
    </row>
    <row r="93" spans="1:28" ht="15" customHeight="1" x14ac:dyDescent="0.25">
      <c r="A93" s="35" t="s">
        <v>133</v>
      </c>
      <c r="B93" s="42">
        <v>54</v>
      </c>
      <c r="C93" s="42">
        <v>275</v>
      </c>
      <c r="D93" s="42">
        <v>316</v>
      </c>
      <c r="E93" s="42">
        <v>101</v>
      </c>
      <c r="F93" s="42">
        <v>197</v>
      </c>
      <c r="G93" s="42">
        <v>76</v>
      </c>
      <c r="H93" s="42">
        <v>145</v>
      </c>
      <c r="I93" s="42">
        <v>113</v>
      </c>
      <c r="J93" s="42">
        <v>213</v>
      </c>
      <c r="K93" s="42">
        <v>1235</v>
      </c>
      <c r="L93" s="42">
        <v>5598</v>
      </c>
      <c r="M93" s="42">
        <v>7021</v>
      </c>
      <c r="N93" s="42">
        <v>2758</v>
      </c>
      <c r="O93" s="42">
        <v>5945</v>
      </c>
      <c r="P93" s="42">
        <v>2223</v>
      </c>
      <c r="Q93" s="42">
        <v>4634</v>
      </c>
      <c r="R93" s="42">
        <v>2313</v>
      </c>
      <c r="S93" s="42">
        <v>5429</v>
      </c>
      <c r="T93" s="43">
        <v>43.8</v>
      </c>
      <c r="U93" s="43">
        <v>49.2</v>
      </c>
      <c r="V93" s="43">
        <v>45</v>
      </c>
      <c r="W93" s="44">
        <v>36.5</v>
      </c>
      <c r="X93" s="44">
        <v>33.1</v>
      </c>
      <c r="Y93" s="44">
        <v>34</v>
      </c>
      <c r="Z93" s="44">
        <v>31.3</v>
      </c>
      <c r="AA93" s="44">
        <v>49.1</v>
      </c>
      <c r="AB93" s="44">
        <v>39.299999999999997</v>
      </c>
    </row>
    <row r="94" spans="1:28" ht="15" customHeight="1" x14ac:dyDescent="0.25">
      <c r="A94" s="41" t="s">
        <v>176</v>
      </c>
      <c r="B94" s="42">
        <v>31</v>
      </c>
      <c r="C94" s="42">
        <v>62</v>
      </c>
      <c r="D94" s="42">
        <v>112</v>
      </c>
      <c r="E94" s="42">
        <v>30</v>
      </c>
      <c r="F94" s="42">
        <v>56</v>
      </c>
      <c r="G94" s="42">
        <v>14</v>
      </c>
      <c r="H94" s="42">
        <v>34</v>
      </c>
      <c r="I94" s="42">
        <v>31</v>
      </c>
      <c r="J94" s="42">
        <v>48</v>
      </c>
      <c r="K94" s="42">
        <v>511</v>
      </c>
      <c r="L94" s="42">
        <v>1694</v>
      </c>
      <c r="M94" s="42">
        <v>2396</v>
      </c>
      <c r="N94" s="42">
        <v>1062</v>
      </c>
      <c r="O94" s="42">
        <v>2245</v>
      </c>
      <c r="P94" s="42">
        <v>755</v>
      </c>
      <c r="Q94" s="42">
        <v>1184</v>
      </c>
      <c r="R94" s="42">
        <v>912</v>
      </c>
      <c r="S94" s="42">
        <v>1672</v>
      </c>
      <c r="T94" s="43">
        <v>60.9</v>
      </c>
      <c r="U94" s="43">
        <v>36.5</v>
      </c>
      <c r="V94" s="43">
        <v>46.9</v>
      </c>
      <c r="W94" s="44">
        <v>27.8</v>
      </c>
      <c r="X94" s="44">
        <v>24.8</v>
      </c>
      <c r="Y94" s="44">
        <v>18.899999999999999</v>
      </c>
      <c r="Z94" s="44">
        <v>28.7</v>
      </c>
      <c r="AA94" s="44">
        <v>34.5</v>
      </c>
      <c r="AB94" s="44">
        <v>28.6</v>
      </c>
    </row>
    <row r="95" spans="1:28" ht="15" customHeight="1" x14ac:dyDescent="0.25">
      <c r="A95" s="41" t="s">
        <v>177</v>
      </c>
      <c r="B95" s="42" t="s">
        <v>28</v>
      </c>
      <c r="C95" s="42">
        <v>12</v>
      </c>
      <c r="D95" s="42">
        <v>20</v>
      </c>
      <c r="E95" s="42" t="s">
        <v>28</v>
      </c>
      <c r="F95" s="42">
        <v>15</v>
      </c>
      <c r="G95" s="42" t="s">
        <v>28</v>
      </c>
      <c r="H95" s="42" t="s">
        <v>28</v>
      </c>
      <c r="I95" s="42" t="s">
        <v>28</v>
      </c>
      <c r="J95" s="42">
        <v>26</v>
      </c>
      <c r="K95" s="42" t="s">
        <v>28</v>
      </c>
      <c r="L95" s="42">
        <v>435</v>
      </c>
      <c r="M95" s="42">
        <v>518</v>
      </c>
      <c r="N95" s="42" t="s">
        <v>28</v>
      </c>
      <c r="O95" s="42">
        <v>552</v>
      </c>
      <c r="P95" s="42" t="s">
        <v>28</v>
      </c>
      <c r="Q95" s="42" t="s">
        <v>28</v>
      </c>
      <c r="R95" s="42" t="s">
        <v>28</v>
      </c>
      <c r="S95" s="42">
        <v>668</v>
      </c>
      <c r="T95" s="43" t="s">
        <v>28</v>
      </c>
      <c r="U95" s="43">
        <v>27.6</v>
      </c>
      <c r="V95" s="43">
        <v>38.6</v>
      </c>
      <c r="W95" s="44" t="s">
        <v>28</v>
      </c>
      <c r="X95" s="44">
        <v>28</v>
      </c>
      <c r="Y95" s="44" t="s">
        <v>28</v>
      </c>
      <c r="Z95" s="44" t="s">
        <v>28</v>
      </c>
      <c r="AA95" s="44" t="s">
        <v>28</v>
      </c>
      <c r="AB95" s="44">
        <v>38.700000000000003</v>
      </c>
    </row>
    <row r="96" spans="1:28" ht="15" customHeight="1" x14ac:dyDescent="0.25">
      <c r="A96" s="35" t="s">
        <v>178</v>
      </c>
      <c r="B96" s="42" t="s">
        <v>28</v>
      </c>
      <c r="C96" s="42">
        <v>19</v>
      </c>
      <c r="D96" s="42">
        <v>21</v>
      </c>
      <c r="E96" s="42" t="s">
        <v>28</v>
      </c>
      <c r="F96" s="42" t="s">
        <v>28</v>
      </c>
      <c r="G96" s="42" t="s">
        <v>28</v>
      </c>
      <c r="H96" s="42" t="s">
        <v>28</v>
      </c>
      <c r="I96" s="42" t="s">
        <v>28</v>
      </c>
      <c r="J96" s="42">
        <v>18</v>
      </c>
      <c r="K96" s="42" t="s">
        <v>28</v>
      </c>
      <c r="L96" s="42">
        <v>458</v>
      </c>
      <c r="M96" s="42">
        <v>354</v>
      </c>
      <c r="N96" s="42" t="s">
        <v>28</v>
      </c>
      <c r="O96" s="42" t="s">
        <v>28</v>
      </c>
      <c r="P96" s="42" t="s">
        <v>28</v>
      </c>
      <c r="Q96" s="42" t="s">
        <v>28</v>
      </c>
      <c r="R96" s="42" t="s">
        <v>28</v>
      </c>
      <c r="S96" s="42">
        <v>478</v>
      </c>
      <c r="T96" s="43" t="s">
        <v>28</v>
      </c>
      <c r="U96" s="43">
        <v>41.8</v>
      </c>
      <c r="V96" s="43">
        <v>59.5</v>
      </c>
      <c r="W96" s="44" t="s">
        <v>28</v>
      </c>
      <c r="X96" s="44">
        <v>31.4</v>
      </c>
      <c r="Y96" s="44" t="s">
        <v>28</v>
      </c>
      <c r="Z96" s="44" t="s">
        <v>28</v>
      </c>
      <c r="AA96" s="44" t="s">
        <v>28</v>
      </c>
      <c r="AB96" s="44">
        <v>37.1</v>
      </c>
    </row>
    <row r="97" spans="1:28" ht="15" customHeight="1" x14ac:dyDescent="0.25">
      <c r="A97" s="41" t="s">
        <v>179</v>
      </c>
      <c r="B97" s="42" t="s">
        <v>28</v>
      </c>
      <c r="C97" s="42">
        <v>11</v>
      </c>
      <c r="D97" s="42">
        <v>11</v>
      </c>
      <c r="E97" s="42" t="s">
        <v>28</v>
      </c>
      <c r="F97" s="42">
        <v>11</v>
      </c>
      <c r="G97" s="42" t="s">
        <v>28</v>
      </c>
      <c r="H97" s="42" t="s">
        <v>28</v>
      </c>
      <c r="I97" s="42" t="s">
        <v>28</v>
      </c>
      <c r="J97" s="42">
        <v>13</v>
      </c>
      <c r="K97" s="42" t="s">
        <v>28</v>
      </c>
      <c r="L97" s="42">
        <v>610</v>
      </c>
      <c r="M97" s="42">
        <v>420</v>
      </c>
      <c r="N97" s="42" t="s">
        <v>28</v>
      </c>
      <c r="O97" s="42">
        <v>620</v>
      </c>
      <c r="P97" s="42" t="s">
        <v>28</v>
      </c>
      <c r="Q97" s="42" t="s">
        <v>28</v>
      </c>
      <c r="R97" s="42" t="s">
        <v>28</v>
      </c>
      <c r="S97" s="42">
        <v>593</v>
      </c>
      <c r="T97" s="43" t="s">
        <v>28</v>
      </c>
      <c r="U97" s="43">
        <v>17.600000000000001</v>
      </c>
      <c r="V97" s="43">
        <v>26.3</v>
      </c>
      <c r="W97" s="44" t="s">
        <v>28</v>
      </c>
      <c r="X97" s="44">
        <v>17.2</v>
      </c>
      <c r="Y97" s="44" t="s">
        <v>28</v>
      </c>
      <c r="Z97" s="44" t="s">
        <v>28</v>
      </c>
      <c r="AA97" s="44" t="s">
        <v>28</v>
      </c>
      <c r="AB97" s="44">
        <v>22.1</v>
      </c>
    </row>
    <row r="98" spans="1:28" ht="15" customHeight="1" x14ac:dyDescent="0.25">
      <c r="A98" s="41" t="s">
        <v>180</v>
      </c>
      <c r="B98" s="36" t="s">
        <v>28</v>
      </c>
      <c r="C98" s="36" t="s">
        <v>28</v>
      </c>
      <c r="D98" s="36" t="s">
        <v>28</v>
      </c>
      <c r="E98" s="36" t="s">
        <v>28</v>
      </c>
      <c r="F98" s="36" t="s">
        <v>28</v>
      </c>
      <c r="G98" s="36" t="s">
        <v>28</v>
      </c>
      <c r="H98" s="36" t="s">
        <v>28</v>
      </c>
      <c r="I98" s="36" t="s">
        <v>28</v>
      </c>
      <c r="J98" s="36" t="s">
        <v>28</v>
      </c>
      <c r="K98" s="36" t="s">
        <v>28</v>
      </c>
      <c r="L98" s="36" t="s">
        <v>28</v>
      </c>
      <c r="M98" s="36" t="s">
        <v>28</v>
      </c>
      <c r="N98" s="36" t="s">
        <v>28</v>
      </c>
      <c r="O98" s="36" t="s">
        <v>28</v>
      </c>
      <c r="P98" s="36" t="s">
        <v>28</v>
      </c>
      <c r="Q98" s="36" t="s">
        <v>28</v>
      </c>
      <c r="R98" s="36" t="s">
        <v>28</v>
      </c>
      <c r="S98" s="36" t="s">
        <v>28</v>
      </c>
      <c r="T98" s="37" t="s">
        <v>28</v>
      </c>
      <c r="U98" s="37" t="s">
        <v>28</v>
      </c>
      <c r="V98" s="37" t="s">
        <v>28</v>
      </c>
      <c r="W98" s="38" t="s">
        <v>28</v>
      </c>
      <c r="X98" s="38" t="s">
        <v>28</v>
      </c>
      <c r="Y98" s="38" t="s">
        <v>28</v>
      </c>
      <c r="Z98" s="38" t="s">
        <v>28</v>
      </c>
      <c r="AA98" s="38" t="s">
        <v>28</v>
      </c>
      <c r="AB98" s="38" t="s">
        <v>28</v>
      </c>
    </row>
    <row r="99" spans="1:28" ht="24" customHeight="1" x14ac:dyDescent="0.25">
      <c r="A99" s="40" t="s">
        <v>181</v>
      </c>
      <c r="B99" s="45" t="s">
        <v>16</v>
      </c>
      <c r="C99" s="45" t="s">
        <v>16</v>
      </c>
      <c r="D99" s="45" t="s">
        <v>16</v>
      </c>
      <c r="E99" s="45" t="s">
        <v>16</v>
      </c>
      <c r="F99" s="45" t="s">
        <v>16</v>
      </c>
      <c r="G99" s="45" t="s">
        <v>16</v>
      </c>
      <c r="H99" s="45" t="s">
        <v>16</v>
      </c>
      <c r="I99" s="45" t="s">
        <v>16</v>
      </c>
      <c r="J99" s="45" t="s">
        <v>16</v>
      </c>
      <c r="K99" s="45" t="s">
        <v>16</v>
      </c>
      <c r="L99" s="45" t="s">
        <v>16</v>
      </c>
      <c r="M99" s="45" t="s">
        <v>16</v>
      </c>
      <c r="N99" s="45" t="s">
        <v>16</v>
      </c>
      <c r="O99" s="45" t="s">
        <v>16</v>
      </c>
      <c r="P99" s="45" t="s">
        <v>16</v>
      </c>
      <c r="Q99" s="45" t="s">
        <v>16</v>
      </c>
      <c r="R99" s="45" t="s">
        <v>16</v>
      </c>
      <c r="S99" s="45" t="s">
        <v>16</v>
      </c>
      <c r="T99" s="46"/>
      <c r="U99" s="46"/>
      <c r="V99" s="46"/>
      <c r="W99" s="47"/>
      <c r="X99" s="47"/>
      <c r="Y99" s="47"/>
      <c r="Z99" s="47"/>
      <c r="AA99" s="47"/>
      <c r="AB99" s="47"/>
    </row>
    <row r="100" spans="1:28" ht="15" customHeight="1" x14ac:dyDescent="0.25">
      <c r="A100" s="35" t="s">
        <v>182</v>
      </c>
      <c r="B100" s="42">
        <v>65</v>
      </c>
      <c r="C100" s="42">
        <v>193</v>
      </c>
      <c r="D100" s="42">
        <v>269</v>
      </c>
      <c r="E100" s="42">
        <v>75</v>
      </c>
      <c r="F100" s="42">
        <v>158</v>
      </c>
      <c r="G100" s="42">
        <v>68</v>
      </c>
      <c r="H100" s="42">
        <v>102</v>
      </c>
      <c r="I100" s="42">
        <v>74</v>
      </c>
      <c r="J100" s="42">
        <v>127</v>
      </c>
      <c r="K100" s="42">
        <v>1351</v>
      </c>
      <c r="L100" s="42">
        <v>4694</v>
      </c>
      <c r="M100" s="42">
        <v>5371</v>
      </c>
      <c r="N100" s="42">
        <v>2118</v>
      </c>
      <c r="O100" s="42">
        <v>5076</v>
      </c>
      <c r="P100" s="42">
        <v>1995</v>
      </c>
      <c r="Q100" s="42">
        <v>3416</v>
      </c>
      <c r="R100" s="42">
        <v>1803</v>
      </c>
      <c r="S100" s="42">
        <v>3175</v>
      </c>
      <c r="T100" s="43">
        <v>48</v>
      </c>
      <c r="U100" s="43">
        <v>41.1</v>
      </c>
      <c r="V100" s="43">
        <v>50</v>
      </c>
      <c r="W100" s="44">
        <v>35.299999999999997</v>
      </c>
      <c r="X100" s="44">
        <v>31.2</v>
      </c>
      <c r="Y100" s="44">
        <v>34.200000000000003</v>
      </c>
      <c r="Z100" s="44">
        <v>29.8</v>
      </c>
      <c r="AA100" s="44">
        <v>41.1</v>
      </c>
      <c r="AB100" s="44">
        <v>40.1</v>
      </c>
    </row>
    <row r="101" spans="1:28" ht="15" customHeight="1" x14ac:dyDescent="0.25">
      <c r="A101" s="41" t="s">
        <v>183</v>
      </c>
      <c r="B101" s="42">
        <v>18</v>
      </c>
      <c r="C101" s="42">
        <v>99</v>
      </c>
      <c r="D101" s="42">
        <v>108</v>
      </c>
      <c r="E101" s="42">
        <v>26</v>
      </c>
      <c r="F101" s="42">
        <v>87</v>
      </c>
      <c r="G101" s="42">
        <v>17</v>
      </c>
      <c r="H101" s="42">
        <v>50</v>
      </c>
      <c r="I101" s="42">
        <v>30</v>
      </c>
      <c r="J101" s="42">
        <v>87</v>
      </c>
      <c r="K101" s="42">
        <v>423</v>
      </c>
      <c r="L101" s="42">
        <v>2289</v>
      </c>
      <c r="M101" s="42">
        <v>2684</v>
      </c>
      <c r="N101" s="42">
        <v>695</v>
      </c>
      <c r="O101" s="42">
        <v>2718</v>
      </c>
      <c r="P101" s="42">
        <v>731</v>
      </c>
      <c r="Q101" s="42">
        <v>1369</v>
      </c>
      <c r="R101" s="42">
        <v>923</v>
      </c>
      <c r="S101" s="42">
        <v>2687</v>
      </c>
      <c r="T101" s="43">
        <v>43.6</v>
      </c>
      <c r="U101" s="43">
        <v>43.4</v>
      </c>
      <c r="V101" s="43">
        <v>40.200000000000003</v>
      </c>
      <c r="W101" s="44">
        <v>37.5</v>
      </c>
      <c r="X101" s="44">
        <v>31.9</v>
      </c>
      <c r="Y101" s="44">
        <v>22.9</v>
      </c>
      <c r="Z101" s="44">
        <v>36.299999999999997</v>
      </c>
      <c r="AA101" s="44">
        <v>33</v>
      </c>
      <c r="AB101" s="44">
        <v>32.200000000000003</v>
      </c>
    </row>
    <row r="102" spans="1:28" ht="15" customHeight="1" x14ac:dyDescent="0.25">
      <c r="A102" s="41" t="s">
        <v>184</v>
      </c>
      <c r="B102" s="42" t="s">
        <v>28</v>
      </c>
      <c r="C102" s="42">
        <v>26</v>
      </c>
      <c r="D102" s="42">
        <v>47</v>
      </c>
      <c r="E102" s="42">
        <v>16</v>
      </c>
      <c r="F102" s="42">
        <v>24</v>
      </c>
      <c r="G102" s="42" t="s">
        <v>28</v>
      </c>
      <c r="H102" s="42">
        <v>13</v>
      </c>
      <c r="I102" s="42" t="s">
        <v>28</v>
      </c>
      <c r="J102" s="42">
        <v>29</v>
      </c>
      <c r="K102" s="42" t="s">
        <v>28</v>
      </c>
      <c r="L102" s="42">
        <v>556</v>
      </c>
      <c r="M102" s="42">
        <v>968</v>
      </c>
      <c r="N102" s="42">
        <v>384</v>
      </c>
      <c r="O102" s="42">
        <v>1055</v>
      </c>
      <c r="P102" s="42" t="s">
        <v>28</v>
      </c>
      <c r="Q102" s="42">
        <v>522</v>
      </c>
      <c r="R102" s="42" t="s">
        <v>28</v>
      </c>
      <c r="S102" s="42">
        <v>1551</v>
      </c>
      <c r="T102" s="43" t="s">
        <v>28</v>
      </c>
      <c r="U102" s="43">
        <v>46.7</v>
      </c>
      <c r="V102" s="43">
        <v>48.2</v>
      </c>
      <c r="W102" s="44">
        <v>41</v>
      </c>
      <c r="X102" s="44">
        <v>22.4</v>
      </c>
      <c r="Y102" s="44" t="s">
        <v>28</v>
      </c>
      <c r="Z102" s="44">
        <v>25.3</v>
      </c>
      <c r="AA102" s="44" t="s">
        <v>28</v>
      </c>
      <c r="AB102" s="44">
        <v>18.8</v>
      </c>
    </row>
    <row r="103" spans="1:28" ht="15" customHeight="1" x14ac:dyDescent="0.25">
      <c r="A103" s="35" t="s">
        <v>185</v>
      </c>
      <c r="B103" s="42" t="s">
        <v>28</v>
      </c>
      <c r="C103" s="42">
        <v>13</v>
      </c>
      <c r="D103" s="42">
        <v>29</v>
      </c>
      <c r="E103" s="42">
        <v>7</v>
      </c>
      <c r="F103" s="42">
        <v>8</v>
      </c>
      <c r="G103" s="42" t="s">
        <v>28</v>
      </c>
      <c r="H103" s="42">
        <v>16</v>
      </c>
      <c r="I103" s="42" t="s">
        <v>28</v>
      </c>
      <c r="J103" s="42">
        <v>37</v>
      </c>
      <c r="K103" s="42" t="s">
        <v>28</v>
      </c>
      <c r="L103" s="42">
        <v>366</v>
      </c>
      <c r="M103" s="42">
        <v>653</v>
      </c>
      <c r="N103" s="42">
        <v>267</v>
      </c>
      <c r="O103" s="42">
        <v>168</v>
      </c>
      <c r="P103" s="42" t="s">
        <v>28</v>
      </c>
      <c r="Q103" s="42">
        <v>201</v>
      </c>
      <c r="R103" s="42" t="s">
        <v>28</v>
      </c>
      <c r="S103" s="42">
        <v>719</v>
      </c>
      <c r="T103" s="43" t="s">
        <v>28</v>
      </c>
      <c r="U103" s="43">
        <v>35.799999999999997</v>
      </c>
      <c r="V103" s="43">
        <v>44.5</v>
      </c>
      <c r="W103" s="44">
        <v>27.9</v>
      </c>
      <c r="X103" s="44">
        <v>49.1</v>
      </c>
      <c r="Y103" s="44" t="s">
        <v>28</v>
      </c>
      <c r="Z103" s="44" t="s">
        <v>28</v>
      </c>
      <c r="AA103" s="44" t="s">
        <v>28</v>
      </c>
      <c r="AB103" s="44">
        <v>51.5</v>
      </c>
    </row>
    <row r="104" spans="1:28" ht="15" customHeight="1" x14ac:dyDescent="0.25">
      <c r="A104" s="41" t="s">
        <v>186</v>
      </c>
      <c r="B104" s="42" t="s">
        <v>28</v>
      </c>
      <c r="C104" s="42" t="s">
        <v>28</v>
      </c>
      <c r="D104" s="42">
        <v>18</v>
      </c>
      <c r="E104" s="42">
        <v>21</v>
      </c>
      <c r="F104" s="42">
        <v>15</v>
      </c>
      <c r="G104" s="42">
        <v>8</v>
      </c>
      <c r="H104" s="42">
        <v>19</v>
      </c>
      <c r="I104" s="42">
        <v>11</v>
      </c>
      <c r="J104" s="42">
        <v>10</v>
      </c>
      <c r="K104" s="42" t="s">
        <v>28</v>
      </c>
      <c r="L104" s="42">
        <v>388</v>
      </c>
      <c r="M104" s="42">
        <v>625</v>
      </c>
      <c r="N104" s="42">
        <v>699</v>
      </c>
      <c r="O104" s="42">
        <v>712</v>
      </c>
      <c r="P104" s="42">
        <v>281</v>
      </c>
      <c r="Q104" s="42">
        <v>877</v>
      </c>
      <c r="R104" s="42">
        <v>321</v>
      </c>
      <c r="S104" s="42">
        <v>427</v>
      </c>
      <c r="T104" s="43" t="s">
        <v>28</v>
      </c>
      <c r="U104" s="43" t="s">
        <v>28</v>
      </c>
      <c r="V104" s="43">
        <v>28.4</v>
      </c>
      <c r="W104" s="44">
        <v>29.7</v>
      </c>
      <c r="X104" s="44">
        <v>20.6</v>
      </c>
      <c r="Y104" s="44">
        <v>27</v>
      </c>
      <c r="Z104" s="44">
        <v>21.4</v>
      </c>
      <c r="AA104" s="44">
        <v>35.299999999999997</v>
      </c>
      <c r="AB104" s="44">
        <v>23.9</v>
      </c>
    </row>
    <row r="105" spans="1:28" ht="15" customHeight="1" x14ac:dyDescent="0.25">
      <c r="A105" s="41" t="s">
        <v>187</v>
      </c>
      <c r="B105" s="36" t="s">
        <v>28</v>
      </c>
      <c r="C105" s="36" t="s">
        <v>28</v>
      </c>
      <c r="D105" s="36" t="s">
        <v>28</v>
      </c>
      <c r="E105" s="36" t="s">
        <v>127</v>
      </c>
      <c r="F105" s="36" t="s">
        <v>28</v>
      </c>
      <c r="G105" s="36" t="s">
        <v>28</v>
      </c>
      <c r="H105" s="36" t="s">
        <v>28</v>
      </c>
      <c r="I105" s="36" t="s">
        <v>28</v>
      </c>
      <c r="J105" s="36">
        <v>13</v>
      </c>
      <c r="K105" s="36" t="s">
        <v>28</v>
      </c>
      <c r="L105" s="36" t="s">
        <v>28</v>
      </c>
      <c r="M105" s="36" t="s">
        <v>28</v>
      </c>
      <c r="N105" s="36" t="s">
        <v>127</v>
      </c>
      <c r="O105" s="36" t="s">
        <v>28</v>
      </c>
      <c r="P105" s="36" t="s">
        <v>28</v>
      </c>
      <c r="Q105" s="36" t="s">
        <v>28</v>
      </c>
      <c r="R105" s="36" t="s">
        <v>28</v>
      </c>
      <c r="S105" s="36">
        <v>208</v>
      </c>
      <c r="T105" s="37" t="s">
        <v>28</v>
      </c>
      <c r="U105" s="37" t="s">
        <v>28</v>
      </c>
      <c r="V105" s="37" t="s">
        <v>28</v>
      </c>
      <c r="W105" s="38" t="s">
        <v>127</v>
      </c>
      <c r="X105" s="38" t="s">
        <v>28</v>
      </c>
      <c r="Y105" s="38" t="s">
        <v>28</v>
      </c>
      <c r="Z105" s="38" t="s">
        <v>28</v>
      </c>
      <c r="AA105" s="38" t="s">
        <v>28</v>
      </c>
      <c r="AB105" s="38">
        <v>60.8</v>
      </c>
    </row>
    <row r="106" spans="1:28" ht="15" customHeight="1" x14ac:dyDescent="0.25">
      <c r="A106" s="41" t="s">
        <v>173</v>
      </c>
      <c r="B106" s="36" t="s">
        <v>127</v>
      </c>
      <c r="C106" s="36" t="s">
        <v>28</v>
      </c>
      <c r="D106" s="36" t="s">
        <v>28</v>
      </c>
      <c r="E106" s="36" t="s">
        <v>28</v>
      </c>
      <c r="F106" s="36" t="s">
        <v>28</v>
      </c>
      <c r="G106" s="36" t="s">
        <v>28</v>
      </c>
      <c r="H106" s="36" t="s">
        <v>28</v>
      </c>
      <c r="I106" s="36" t="s">
        <v>28</v>
      </c>
      <c r="J106" s="36" t="s">
        <v>28</v>
      </c>
      <c r="K106" s="36" t="s">
        <v>127</v>
      </c>
      <c r="L106" s="36" t="s">
        <v>28</v>
      </c>
      <c r="M106" s="36" t="s">
        <v>28</v>
      </c>
      <c r="N106" s="36" t="s">
        <v>28</v>
      </c>
      <c r="O106" s="36" t="s">
        <v>28</v>
      </c>
      <c r="P106" s="36" t="s">
        <v>28</v>
      </c>
      <c r="Q106" s="36" t="s">
        <v>28</v>
      </c>
      <c r="R106" s="36" t="s">
        <v>28</v>
      </c>
      <c r="S106" s="36" t="s">
        <v>28</v>
      </c>
      <c r="T106" s="37" t="s">
        <v>127</v>
      </c>
      <c r="U106" s="37" t="s">
        <v>28</v>
      </c>
      <c r="V106" s="37" t="s">
        <v>28</v>
      </c>
      <c r="W106" s="38" t="s">
        <v>28</v>
      </c>
      <c r="X106" s="38" t="s">
        <v>28</v>
      </c>
      <c r="Y106" s="38" t="s">
        <v>28</v>
      </c>
      <c r="Z106" s="38" t="s">
        <v>28</v>
      </c>
      <c r="AA106" s="38" t="s">
        <v>28</v>
      </c>
      <c r="AB106" s="38" t="s">
        <v>28</v>
      </c>
    </row>
    <row r="107" spans="1:28" ht="15" customHeight="1" x14ac:dyDescent="0.25">
      <c r="A107" s="41" t="s">
        <v>188</v>
      </c>
      <c r="B107" s="36" t="s">
        <v>28</v>
      </c>
      <c r="C107" s="36" t="s">
        <v>28</v>
      </c>
      <c r="D107" s="36" t="s">
        <v>28</v>
      </c>
      <c r="E107" s="36" t="s">
        <v>28</v>
      </c>
      <c r="F107" s="36" t="s">
        <v>28</v>
      </c>
      <c r="G107" s="36" t="s">
        <v>28</v>
      </c>
      <c r="H107" s="36" t="s">
        <v>28</v>
      </c>
      <c r="I107" s="36" t="s">
        <v>28</v>
      </c>
      <c r="J107" s="36" t="s">
        <v>28</v>
      </c>
      <c r="K107" s="36" t="s">
        <v>28</v>
      </c>
      <c r="L107" s="36" t="s">
        <v>28</v>
      </c>
      <c r="M107" s="36" t="s">
        <v>28</v>
      </c>
      <c r="N107" s="36" t="s">
        <v>28</v>
      </c>
      <c r="O107" s="36" t="s">
        <v>28</v>
      </c>
      <c r="P107" s="36" t="s">
        <v>28</v>
      </c>
      <c r="Q107" s="36" t="s">
        <v>28</v>
      </c>
      <c r="R107" s="36" t="s">
        <v>28</v>
      </c>
      <c r="S107" s="36" t="s">
        <v>28</v>
      </c>
      <c r="T107" s="37" t="s">
        <v>28</v>
      </c>
      <c r="U107" s="37" t="s">
        <v>28</v>
      </c>
      <c r="V107" s="37" t="s">
        <v>28</v>
      </c>
      <c r="W107" s="38" t="s">
        <v>28</v>
      </c>
      <c r="X107" s="38" t="s">
        <v>28</v>
      </c>
      <c r="Y107" s="38" t="s">
        <v>28</v>
      </c>
      <c r="Z107" s="38" t="s">
        <v>28</v>
      </c>
      <c r="AA107" s="38" t="s">
        <v>28</v>
      </c>
      <c r="AB107" s="38" t="s">
        <v>28</v>
      </c>
    </row>
    <row r="108" spans="1:28" ht="24" customHeight="1" x14ac:dyDescent="0.25">
      <c r="A108" s="40" t="s">
        <v>189</v>
      </c>
      <c r="B108" s="45" t="s">
        <v>16</v>
      </c>
      <c r="C108" s="45" t="s">
        <v>16</v>
      </c>
      <c r="D108" s="45" t="s">
        <v>16</v>
      </c>
      <c r="E108" s="45" t="s">
        <v>16</v>
      </c>
      <c r="F108" s="45" t="s">
        <v>16</v>
      </c>
      <c r="G108" s="45" t="s">
        <v>16</v>
      </c>
      <c r="H108" s="45" t="s">
        <v>16</v>
      </c>
      <c r="I108" s="45" t="s">
        <v>16</v>
      </c>
      <c r="J108" s="45" t="s">
        <v>16</v>
      </c>
      <c r="K108" s="45" t="s">
        <v>16</v>
      </c>
      <c r="L108" s="45" t="s">
        <v>16</v>
      </c>
      <c r="M108" s="45" t="s">
        <v>16</v>
      </c>
      <c r="N108" s="45" t="s">
        <v>16</v>
      </c>
      <c r="O108" s="45" t="s">
        <v>16</v>
      </c>
      <c r="P108" s="45" t="s">
        <v>16</v>
      </c>
      <c r="Q108" s="45" t="s">
        <v>16</v>
      </c>
      <c r="R108" s="45" t="s">
        <v>16</v>
      </c>
      <c r="S108" s="45" t="s">
        <v>16</v>
      </c>
      <c r="T108" s="46"/>
      <c r="U108" s="46"/>
      <c r="V108" s="46"/>
      <c r="W108" s="47"/>
      <c r="X108" s="47"/>
      <c r="Y108" s="47"/>
      <c r="Z108" s="47"/>
      <c r="AA108" s="47"/>
      <c r="AB108" s="47"/>
    </row>
    <row r="109" spans="1:28" ht="15" customHeight="1" x14ac:dyDescent="0.25">
      <c r="A109" s="41" t="s">
        <v>190</v>
      </c>
      <c r="B109" s="42" t="s">
        <v>28</v>
      </c>
      <c r="C109" s="42">
        <v>18</v>
      </c>
      <c r="D109" s="42">
        <v>41</v>
      </c>
      <c r="E109" s="42">
        <v>21</v>
      </c>
      <c r="F109" s="42">
        <v>39</v>
      </c>
      <c r="G109" s="42">
        <v>19</v>
      </c>
      <c r="H109" s="42">
        <v>44</v>
      </c>
      <c r="I109" s="42">
        <v>21</v>
      </c>
      <c r="J109" s="42">
        <v>29</v>
      </c>
      <c r="K109" s="42" t="s">
        <v>28</v>
      </c>
      <c r="L109" s="42">
        <v>683</v>
      </c>
      <c r="M109" s="42">
        <v>1187</v>
      </c>
      <c r="N109" s="42">
        <v>906</v>
      </c>
      <c r="O109" s="42">
        <v>1258</v>
      </c>
      <c r="P109" s="42">
        <v>683</v>
      </c>
      <c r="Q109" s="42">
        <v>1508</v>
      </c>
      <c r="R109" s="42">
        <v>580</v>
      </c>
      <c r="S109" s="42">
        <v>958</v>
      </c>
      <c r="T109" s="43" t="s">
        <v>28</v>
      </c>
      <c r="U109" s="43">
        <v>26.7</v>
      </c>
      <c r="V109" s="43">
        <v>34.299999999999997</v>
      </c>
      <c r="W109" s="44">
        <v>23.6</v>
      </c>
      <c r="X109" s="44">
        <v>31.2</v>
      </c>
      <c r="Y109" s="44">
        <v>27.3</v>
      </c>
      <c r="Z109" s="44">
        <v>28.9</v>
      </c>
      <c r="AA109" s="44">
        <v>36.4</v>
      </c>
      <c r="AB109" s="44">
        <v>30.2</v>
      </c>
    </row>
    <row r="110" spans="1:28" ht="15" customHeight="1" x14ac:dyDescent="0.25">
      <c r="A110" s="35" t="s">
        <v>191</v>
      </c>
      <c r="B110" s="36">
        <v>76</v>
      </c>
      <c r="C110" s="36">
        <v>137</v>
      </c>
      <c r="D110" s="36">
        <v>202</v>
      </c>
      <c r="E110" s="36">
        <v>55</v>
      </c>
      <c r="F110" s="36">
        <v>97</v>
      </c>
      <c r="G110" s="36">
        <v>39</v>
      </c>
      <c r="H110" s="36">
        <v>45</v>
      </c>
      <c r="I110" s="36">
        <v>80</v>
      </c>
      <c r="J110" s="36">
        <v>99</v>
      </c>
      <c r="K110" s="36">
        <v>1385</v>
      </c>
      <c r="L110" s="36">
        <v>3233</v>
      </c>
      <c r="M110" s="36">
        <v>4463</v>
      </c>
      <c r="N110" s="36">
        <v>1586</v>
      </c>
      <c r="O110" s="36">
        <v>2958</v>
      </c>
      <c r="P110" s="36">
        <v>1153</v>
      </c>
      <c r="Q110" s="36">
        <v>1393</v>
      </c>
      <c r="R110" s="36">
        <v>1553</v>
      </c>
      <c r="S110" s="36">
        <v>2067</v>
      </c>
      <c r="T110" s="37">
        <v>55.1</v>
      </c>
      <c r="U110" s="37">
        <v>42.3</v>
      </c>
      <c r="V110" s="37">
        <v>45.3</v>
      </c>
      <c r="W110" s="38">
        <v>34.5</v>
      </c>
      <c r="X110" s="38">
        <v>32.700000000000003</v>
      </c>
      <c r="Y110" s="38">
        <v>33.700000000000003</v>
      </c>
      <c r="Z110" s="38">
        <v>32.299999999999997</v>
      </c>
      <c r="AA110" s="38">
        <v>51.5</v>
      </c>
      <c r="AB110" s="38">
        <v>48</v>
      </c>
    </row>
    <row r="111" spans="1:28" ht="15" customHeight="1" x14ac:dyDescent="0.25">
      <c r="A111" s="35" t="s">
        <v>192</v>
      </c>
      <c r="B111" s="42">
        <v>11</v>
      </c>
      <c r="C111" s="42">
        <v>126</v>
      </c>
      <c r="D111" s="42">
        <v>110</v>
      </c>
      <c r="E111" s="42">
        <v>41</v>
      </c>
      <c r="F111" s="42">
        <v>74</v>
      </c>
      <c r="G111" s="42">
        <v>24</v>
      </c>
      <c r="H111" s="42">
        <v>65</v>
      </c>
      <c r="I111" s="42">
        <v>29</v>
      </c>
      <c r="J111" s="42">
        <v>87</v>
      </c>
      <c r="K111" s="42">
        <v>305</v>
      </c>
      <c r="L111" s="42">
        <v>2642</v>
      </c>
      <c r="M111" s="42">
        <v>2519</v>
      </c>
      <c r="N111" s="42">
        <v>918</v>
      </c>
      <c r="O111" s="42">
        <v>3055</v>
      </c>
      <c r="P111" s="42">
        <v>728</v>
      </c>
      <c r="Q111" s="42">
        <v>2144</v>
      </c>
      <c r="R111" s="42">
        <v>871</v>
      </c>
      <c r="S111" s="42">
        <v>2844</v>
      </c>
      <c r="T111" s="43">
        <v>36.200000000000003</v>
      </c>
      <c r="U111" s="43">
        <v>47.8</v>
      </c>
      <c r="V111" s="43">
        <v>43.5</v>
      </c>
      <c r="W111" s="44">
        <v>44.7</v>
      </c>
      <c r="X111" s="44">
        <v>24.3</v>
      </c>
      <c r="Y111" s="44">
        <v>33.200000000000003</v>
      </c>
      <c r="Z111" s="44">
        <v>30.5</v>
      </c>
      <c r="AA111" s="44">
        <v>33.700000000000003</v>
      </c>
      <c r="AB111" s="44">
        <v>30.5</v>
      </c>
    </row>
    <row r="112" spans="1:28" ht="15" customHeight="1" x14ac:dyDescent="0.25">
      <c r="A112" s="41" t="s">
        <v>193</v>
      </c>
      <c r="B112" s="42" t="s">
        <v>28</v>
      </c>
      <c r="C112" s="42">
        <v>24</v>
      </c>
      <c r="D112" s="42">
        <v>10</v>
      </c>
      <c r="E112" s="42" t="s">
        <v>28</v>
      </c>
      <c r="F112" s="42">
        <v>14</v>
      </c>
      <c r="G112" s="42" t="s">
        <v>28</v>
      </c>
      <c r="H112" s="42">
        <v>12</v>
      </c>
      <c r="I112" s="42" t="s">
        <v>28</v>
      </c>
      <c r="J112" s="42">
        <v>34</v>
      </c>
      <c r="K112" s="42" t="s">
        <v>28</v>
      </c>
      <c r="L112" s="42">
        <v>442</v>
      </c>
      <c r="M112" s="42">
        <v>254</v>
      </c>
      <c r="N112" s="42" t="s">
        <v>28</v>
      </c>
      <c r="O112" s="42">
        <v>699</v>
      </c>
      <c r="P112" s="42" t="s">
        <v>28</v>
      </c>
      <c r="Q112" s="42">
        <v>302</v>
      </c>
      <c r="R112" s="42" t="s">
        <v>28</v>
      </c>
      <c r="S112" s="42">
        <v>686</v>
      </c>
      <c r="T112" s="43" t="s">
        <v>28</v>
      </c>
      <c r="U112" s="43">
        <v>54.2</v>
      </c>
      <c r="V112" s="43">
        <v>39.4</v>
      </c>
      <c r="W112" s="44" t="s">
        <v>28</v>
      </c>
      <c r="X112" s="44" t="s">
        <v>28</v>
      </c>
      <c r="Y112" s="44" t="s">
        <v>28</v>
      </c>
      <c r="Z112" s="44">
        <v>40.4</v>
      </c>
      <c r="AA112" s="44" t="s">
        <v>28</v>
      </c>
      <c r="AB112" s="44">
        <v>48.9</v>
      </c>
    </row>
    <row r="113" spans="1:28" ht="27.95" customHeight="1" x14ac:dyDescent="0.25">
      <c r="A113" s="41" t="s">
        <v>194</v>
      </c>
      <c r="B113" s="42" t="s">
        <v>28</v>
      </c>
      <c r="C113" s="42" t="s">
        <v>28</v>
      </c>
      <c r="D113" s="42" t="s">
        <v>28</v>
      </c>
      <c r="E113" s="42" t="s">
        <v>28</v>
      </c>
      <c r="F113" s="42" t="s">
        <v>28</v>
      </c>
      <c r="G113" s="42" t="s">
        <v>127</v>
      </c>
      <c r="H113" s="42" t="s">
        <v>28</v>
      </c>
      <c r="I113" s="42" t="s">
        <v>28</v>
      </c>
      <c r="J113" s="42" t="s">
        <v>28</v>
      </c>
      <c r="K113" s="42" t="s">
        <v>28</v>
      </c>
      <c r="L113" s="42" t="s">
        <v>28</v>
      </c>
      <c r="M113" s="42" t="s">
        <v>28</v>
      </c>
      <c r="N113" s="42" t="s">
        <v>28</v>
      </c>
      <c r="O113" s="42" t="s">
        <v>28</v>
      </c>
      <c r="P113" s="42" t="s">
        <v>127</v>
      </c>
      <c r="Q113" s="42" t="s">
        <v>28</v>
      </c>
      <c r="R113" s="42" t="s">
        <v>28</v>
      </c>
      <c r="S113" s="42" t="s">
        <v>28</v>
      </c>
      <c r="T113" s="43" t="s">
        <v>28</v>
      </c>
      <c r="U113" s="43" t="s">
        <v>28</v>
      </c>
      <c r="V113" s="43" t="s">
        <v>28</v>
      </c>
      <c r="W113" s="44" t="s">
        <v>28</v>
      </c>
      <c r="X113" s="44" t="s">
        <v>28</v>
      </c>
      <c r="Y113" s="44" t="s">
        <v>127</v>
      </c>
      <c r="Z113" s="44" t="s">
        <v>28</v>
      </c>
      <c r="AA113" s="44" t="s">
        <v>28</v>
      </c>
      <c r="AB113" s="44" t="s">
        <v>28</v>
      </c>
    </row>
    <row r="114" spans="1:28" ht="27.95" customHeight="1" x14ac:dyDescent="0.25">
      <c r="A114" s="41" t="s">
        <v>195</v>
      </c>
      <c r="B114" s="42">
        <v>10</v>
      </c>
      <c r="C114" s="42">
        <v>54</v>
      </c>
      <c r="D114" s="42">
        <v>107</v>
      </c>
      <c r="E114" s="42">
        <v>23</v>
      </c>
      <c r="F114" s="42">
        <v>53</v>
      </c>
      <c r="G114" s="42">
        <v>14</v>
      </c>
      <c r="H114" s="42">
        <v>28</v>
      </c>
      <c r="I114" s="42">
        <v>19</v>
      </c>
      <c r="J114" s="42">
        <v>50</v>
      </c>
      <c r="K114" s="42">
        <v>268</v>
      </c>
      <c r="L114" s="42">
        <v>1427</v>
      </c>
      <c r="M114" s="42">
        <v>2041</v>
      </c>
      <c r="N114" s="42">
        <v>636</v>
      </c>
      <c r="O114" s="42">
        <v>1649</v>
      </c>
      <c r="P114" s="42">
        <v>647</v>
      </c>
      <c r="Q114" s="42">
        <v>945</v>
      </c>
      <c r="R114" s="42">
        <v>576</v>
      </c>
      <c r="S114" s="42">
        <v>1707</v>
      </c>
      <c r="T114" s="43">
        <v>38.200000000000003</v>
      </c>
      <c r="U114" s="43">
        <v>37.799999999999997</v>
      </c>
      <c r="V114" s="43">
        <v>52.2</v>
      </c>
      <c r="W114" s="44">
        <v>36.9</v>
      </c>
      <c r="X114" s="44">
        <v>32.200000000000003</v>
      </c>
      <c r="Y114" s="44">
        <v>21.9</v>
      </c>
      <c r="Z114" s="44">
        <v>29.9</v>
      </c>
      <c r="AA114" s="44">
        <v>32.799999999999997</v>
      </c>
      <c r="AB114" s="44">
        <v>29.5</v>
      </c>
    </row>
    <row r="115" spans="1:28" ht="15" customHeight="1" x14ac:dyDescent="0.25">
      <c r="A115" s="41" t="s">
        <v>196</v>
      </c>
      <c r="B115" s="36" t="s">
        <v>28</v>
      </c>
      <c r="C115" s="36" t="s">
        <v>28</v>
      </c>
      <c r="D115" s="36" t="s">
        <v>28</v>
      </c>
      <c r="E115" s="36" t="s">
        <v>28</v>
      </c>
      <c r="F115" s="36" t="s">
        <v>28</v>
      </c>
      <c r="G115" s="36" t="s">
        <v>28</v>
      </c>
      <c r="H115" s="36" t="s">
        <v>28</v>
      </c>
      <c r="I115" s="36" t="s">
        <v>28</v>
      </c>
      <c r="J115" s="36">
        <v>4</v>
      </c>
      <c r="K115" s="36" t="s">
        <v>28</v>
      </c>
      <c r="L115" s="36" t="s">
        <v>28</v>
      </c>
      <c r="M115" s="36" t="s">
        <v>28</v>
      </c>
      <c r="N115" s="36" t="s">
        <v>28</v>
      </c>
      <c r="O115" s="36" t="s">
        <v>28</v>
      </c>
      <c r="P115" s="36" t="s">
        <v>28</v>
      </c>
      <c r="Q115" s="36" t="s">
        <v>28</v>
      </c>
      <c r="R115" s="36" t="s">
        <v>28</v>
      </c>
      <c r="S115" s="36">
        <v>229</v>
      </c>
      <c r="T115" s="37" t="s">
        <v>28</v>
      </c>
      <c r="U115" s="37" t="s">
        <v>28</v>
      </c>
      <c r="V115" s="37" t="s">
        <v>28</v>
      </c>
      <c r="W115" s="38" t="s">
        <v>28</v>
      </c>
      <c r="X115" s="38" t="s">
        <v>28</v>
      </c>
      <c r="Y115" s="38" t="s">
        <v>28</v>
      </c>
      <c r="Z115" s="38" t="s">
        <v>28</v>
      </c>
      <c r="AA115" s="38" t="s">
        <v>28</v>
      </c>
      <c r="AB115" s="38">
        <v>19.600000000000001</v>
      </c>
    </row>
    <row r="116" spans="1:28" ht="15" customHeight="1" x14ac:dyDescent="0.25">
      <c r="A116" s="41" t="s">
        <v>173</v>
      </c>
      <c r="B116" s="36" t="s">
        <v>28</v>
      </c>
      <c r="C116" s="36" t="s">
        <v>28</v>
      </c>
      <c r="D116" s="36" t="s">
        <v>28</v>
      </c>
      <c r="E116" s="36" t="s">
        <v>28</v>
      </c>
      <c r="F116" s="36" t="s">
        <v>28</v>
      </c>
      <c r="G116" s="36" t="s">
        <v>28</v>
      </c>
      <c r="H116" s="36" t="s">
        <v>127</v>
      </c>
      <c r="I116" s="36" t="s">
        <v>28</v>
      </c>
      <c r="J116" s="36" t="s">
        <v>28</v>
      </c>
      <c r="K116" s="36" t="s">
        <v>28</v>
      </c>
      <c r="L116" s="36" t="s">
        <v>28</v>
      </c>
      <c r="M116" s="36" t="s">
        <v>28</v>
      </c>
      <c r="N116" s="36" t="s">
        <v>28</v>
      </c>
      <c r="O116" s="36" t="s">
        <v>28</v>
      </c>
      <c r="P116" s="36" t="s">
        <v>28</v>
      </c>
      <c r="Q116" s="36" t="s">
        <v>127</v>
      </c>
      <c r="R116" s="36" t="s">
        <v>28</v>
      </c>
      <c r="S116" s="36" t="s">
        <v>28</v>
      </c>
      <c r="T116" s="37" t="s">
        <v>28</v>
      </c>
      <c r="U116" s="37" t="s">
        <v>28</v>
      </c>
      <c r="V116" s="37" t="s">
        <v>28</v>
      </c>
      <c r="W116" s="38" t="s">
        <v>28</v>
      </c>
      <c r="X116" s="38" t="s">
        <v>28</v>
      </c>
      <c r="Y116" s="38" t="s">
        <v>28</v>
      </c>
      <c r="Z116" s="38" t="s">
        <v>127</v>
      </c>
      <c r="AA116" s="38" t="s">
        <v>28</v>
      </c>
      <c r="AB116" s="38" t="s">
        <v>28</v>
      </c>
    </row>
    <row r="117" spans="1:28" ht="15" customHeight="1" x14ac:dyDescent="0.25">
      <c r="A117" s="41" t="s">
        <v>188</v>
      </c>
      <c r="B117" s="36" t="s">
        <v>28</v>
      </c>
      <c r="C117" s="36" t="s">
        <v>28</v>
      </c>
      <c r="D117" s="36" t="s">
        <v>28</v>
      </c>
      <c r="E117" s="36" t="s">
        <v>28</v>
      </c>
      <c r="F117" s="36" t="s">
        <v>127</v>
      </c>
      <c r="G117" s="36" t="s">
        <v>28</v>
      </c>
      <c r="H117" s="36" t="s">
        <v>28</v>
      </c>
      <c r="I117" s="36" t="s">
        <v>127</v>
      </c>
      <c r="J117" s="36" t="s">
        <v>28</v>
      </c>
      <c r="K117" s="36" t="s">
        <v>28</v>
      </c>
      <c r="L117" s="36" t="s">
        <v>28</v>
      </c>
      <c r="M117" s="36" t="s">
        <v>28</v>
      </c>
      <c r="N117" s="36" t="s">
        <v>28</v>
      </c>
      <c r="O117" s="36" t="s">
        <v>127</v>
      </c>
      <c r="P117" s="36" t="s">
        <v>28</v>
      </c>
      <c r="Q117" s="36" t="s">
        <v>28</v>
      </c>
      <c r="R117" s="36" t="s">
        <v>127</v>
      </c>
      <c r="S117" s="36" t="s">
        <v>28</v>
      </c>
      <c r="T117" s="37" t="s">
        <v>28</v>
      </c>
      <c r="U117" s="37" t="s">
        <v>28</v>
      </c>
      <c r="V117" s="37" t="s">
        <v>28</v>
      </c>
      <c r="W117" s="38" t="s">
        <v>28</v>
      </c>
      <c r="X117" s="38" t="s">
        <v>127</v>
      </c>
      <c r="Y117" s="38" t="s">
        <v>28</v>
      </c>
      <c r="Z117" s="38" t="s">
        <v>28</v>
      </c>
      <c r="AA117" s="38" t="s">
        <v>127</v>
      </c>
      <c r="AB117" s="38" t="s">
        <v>28</v>
      </c>
    </row>
    <row r="118" spans="1:28" ht="24" customHeight="1" x14ac:dyDescent="0.25">
      <c r="A118" s="40" t="s">
        <v>197</v>
      </c>
      <c r="B118" s="45" t="s">
        <v>16</v>
      </c>
      <c r="C118" s="45" t="s">
        <v>16</v>
      </c>
      <c r="D118" s="45" t="s">
        <v>16</v>
      </c>
      <c r="E118" s="45" t="s">
        <v>16</v>
      </c>
      <c r="F118" s="45" t="s">
        <v>16</v>
      </c>
      <c r="G118" s="45" t="s">
        <v>16</v>
      </c>
      <c r="H118" s="45" t="s">
        <v>16</v>
      </c>
      <c r="I118" s="45" t="s">
        <v>16</v>
      </c>
      <c r="J118" s="45" t="s">
        <v>16</v>
      </c>
      <c r="K118" s="45" t="s">
        <v>16</v>
      </c>
      <c r="L118" s="45" t="s">
        <v>16</v>
      </c>
      <c r="M118" s="45" t="s">
        <v>16</v>
      </c>
      <c r="N118" s="45" t="s">
        <v>16</v>
      </c>
      <c r="O118" s="45" t="s">
        <v>16</v>
      </c>
      <c r="P118" s="45" t="s">
        <v>16</v>
      </c>
      <c r="Q118" s="45" t="s">
        <v>16</v>
      </c>
      <c r="R118" s="45" t="s">
        <v>16</v>
      </c>
      <c r="S118" s="45" t="s">
        <v>16</v>
      </c>
      <c r="T118" s="46"/>
      <c r="U118" s="46"/>
      <c r="V118" s="46"/>
      <c r="W118" s="47"/>
      <c r="X118" s="47"/>
      <c r="Y118" s="47"/>
      <c r="Z118" s="47"/>
      <c r="AA118" s="47"/>
      <c r="AB118" s="47"/>
    </row>
    <row r="119" spans="1:28" ht="15" customHeight="1" x14ac:dyDescent="0.25">
      <c r="A119" s="35" t="s">
        <v>198</v>
      </c>
      <c r="B119" s="42" t="s">
        <v>16</v>
      </c>
      <c r="C119" s="42" t="s">
        <v>16</v>
      </c>
      <c r="D119" s="42" t="s">
        <v>16</v>
      </c>
      <c r="E119" s="42" t="s">
        <v>16</v>
      </c>
      <c r="F119" s="42" t="s">
        <v>16</v>
      </c>
      <c r="G119" s="42" t="s">
        <v>16</v>
      </c>
      <c r="H119" s="42" t="s">
        <v>16</v>
      </c>
      <c r="I119" s="42" t="s">
        <v>16</v>
      </c>
      <c r="J119" s="42" t="s">
        <v>16</v>
      </c>
      <c r="K119" s="42" t="s">
        <v>16</v>
      </c>
      <c r="L119" s="42" t="s">
        <v>16</v>
      </c>
      <c r="M119" s="42" t="s">
        <v>16</v>
      </c>
      <c r="N119" s="42" t="s">
        <v>16</v>
      </c>
      <c r="O119" s="42" t="s">
        <v>16</v>
      </c>
      <c r="P119" s="42" t="s">
        <v>16</v>
      </c>
      <c r="Q119" s="42" t="s">
        <v>16</v>
      </c>
      <c r="R119" s="42" t="s">
        <v>16</v>
      </c>
      <c r="S119" s="42" t="s">
        <v>16</v>
      </c>
      <c r="T119" s="43"/>
      <c r="U119" s="43"/>
      <c r="V119" s="43"/>
      <c r="W119" s="44"/>
      <c r="X119" s="44"/>
      <c r="Y119" s="44"/>
      <c r="Z119" s="44"/>
      <c r="AA119" s="44"/>
      <c r="AB119" s="44"/>
    </row>
    <row r="120" spans="1:28" ht="15" customHeight="1" x14ac:dyDescent="0.25">
      <c r="A120" s="39" t="s">
        <v>199</v>
      </c>
      <c r="B120" s="42">
        <v>73</v>
      </c>
      <c r="C120" s="42">
        <v>284</v>
      </c>
      <c r="D120" s="42">
        <v>293</v>
      </c>
      <c r="E120" s="42">
        <v>94</v>
      </c>
      <c r="F120" s="42">
        <v>187</v>
      </c>
      <c r="G120" s="42">
        <v>62</v>
      </c>
      <c r="H120" s="42">
        <v>122</v>
      </c>
      <c r="I120" s="42">
        <v>80</v>
      </c>
      <c r="J120" s="42">
        <v>224</v>
      </c>
      <c r="K120" s="42">
        <v>1572</v>
      </c>
      <c r="L120" s="42">
        <v>6328</v>
      </c>
      <c r="M120" s="42">
        <v>6373</v>
      </c>
      <c r="N120" s="42">
        <v>2460</v>
      </c>
      <c r="O120" s="42">
        <v>6194</v>
      </c>
      <c r="P120" s="42">
        <v>1662</v>
      </c>
      <c r="Q120" s="42">
        <v>3621</v>
      </c>
      <c r="R120" s="42">
        <v>2042</v>
      </c>
      <c r="S120" s="42">
        <v>5581</v>
      </c>
      <c r="T120" s="43">
        <v>46.5</v>
      </c>
      <c r="U120" s="43">
        <v>44.9</v>
      </c>
      <c r="V120" s="43">
        <v>46.1</v>
      </c>
      <c r="W120" s="44">
        <v>38.200000000000003</v>
      </c>
      <c r="X120" s="44">
        <v>30.2</v>
      </c>
      <c r="Y120" s="44">
        <v>37.1</v>
      </c>
      <c r="Z120" s="44">
        <v>33.799999999999997</v>
      </c>
      <c r="AA120" s="44">
        <v>39</v>
      </c>
      <c r="AB120" s="44">
        <v>40.200000000000003</v>
      </c>
    </row>
    <row r="121" spans="1:28" ht="15" customHeight="1" x14ac:dyDescent="0.25">
      <c r="A121" s="39" t="s">
        <v>200</v>
      </c>
      <c r="B121" s="42">
        <v>23</v>
      </c>
      <c r="C121" s="42">
        <v>52</v>
      </c>
      <c r="D121" s="42">
        <v>100</v>
      </c>
      <c r="E121" s="42">
        <v>33</v>
      </c>
      <c r="F121" s="42">
        <v>64</v>
      </c>
      <c r="G121" s="42">
        <v>21</v>
      </c>
      <c r="H121" s="42">
        <v>53</v>
      </c>
      <c r="I121" s="42" t="s">
        <v>28</v>
      </c>
      <c r="J121" s="42">
        <v>64</v>
      </c>
      <c r="K121" s="42">
        <v>339</v>
      </c>
      <c r="L121" s="42">
        <v>1117</v>
      </c>
      <c r="M121" s="42">
        <v>2612</v>
      </c>
      <c r="N121" s="42">
        <v>1235</v>
      </c>
      <c r="O121" s="42">
        <v>2553</v>
      </c>
      <c r="P121" s="42">
        <v>1002</v>
      </c>
      <c r="Q121" s="42">
        <v>2039</v>
      </c>
      <c r="R121" s="42">
        <v>1253</v>
      </c>
      <c r="S121" s="42">
        <v>2351</v>
      </c>
      <c r="T121" s="43">
        <v>66.900000000000006</v>
      </c>
      <c r="U121" s="43">
        <v>46.2</v>
      </c>
      <c r="V121" s="43">
        <v>38.299999999999997</v>
      </c>
      <c r="W121" s="44">
        <v>26.5</v>
      </c>
      <c r="X121" s="44">
        <v>25.2</v>
      </c>
      <c r="Y121" s="44">
        <v>21.2</v>
      </c>
      <c r="Z121" s="44">
        <v>26.1</v>
      </c>
      <c r="AA121" s="44">
        <v>47.9</v>
      </c>
      <c r="AB121" s="44">
        <v>27.1</v>
      </c>
    </row>
    <row r="122" spans="1:28" ht="15" customHeight="1" x14ac:dyDescent="0.25">
      <c r="A122" s="39" t="s">
        <v>201</v>
      </c>
      <c r="B122" s="42" t="s">
        <v>28</v>
      </c>
      <c r="C122" s="42">
        <v>44</v>
      </c>
      <c r="D122" s="42">
        <v>88</v>
      </c>
      <c r="E122" s="42">
        <v>18</v>
      </c>
      <c r="F122" s="42">
        <v>46</v>
      </c>
      <c r="G122" s="42">
        <v>18</v>
      </c>
      <c r="H122" s="42">
        <v>26</v>
      </c>
      <c r="I122" s="42">
        <v>20</v>
      </c>
      <c r="J122" s="42">
        <v>32</v>
      </c>
      <c r="K122" s="42">
        <v>329</v>
      </c>
      <c r="L122" s="42">
        <v>1382</v>
      </c>
      <c r="M122" s="42">
        <v>1805</v>
      </c>
      <c r="N122" s="42">
        <v>540</v>
      </c>
      <c r="O122" s="42">
        <v>1238</v>
      </c>
      <c r="P122" s="42">
        <v>773</v>
      </c>
      <c r="Q122" s="42">
        <v>820</v>
      </c>
      <c r="R122" s="42">
        <v>471</v>
      </c>
      <c r="S122" s="42">
        <v>1034</v>
      </c>
      <c r="T122" s="43">
        <v>36.5</v>
      </c>
      <c r="U122" s="43">
        <v>31.8</v>
      </c>
      <c r="V122" s="43">
        <v>48.7</v>
      </c>
      <c r="W122" s="44">
        <v>34</v>
      </c>
      <c r="X122" s="44">
        <v>37.4</v>
      </c>
      <c r="Y122" s="44">
        <v>23.4</v>
      </c>
      <c r="Z122" s="44">
        <v>31.8</v>
      </c>
      <c r="AA122" s="44">
        <v>41.8</v>
      </c>
      <c r="AB122" s="44">
        <v>30.7</v>
      </c>
    </row>
    <row r="123" spans="1:28" ht="15" customHeight="1" x14ac:dyDescent="0.25">
      <c r="A123" s="41" t="s">
        <v>202</v>
      </c>
      <c r="B123" s="42">
        <v>18</v>
      </c>
      <c r="C123" s="42">
        <v>109</v>
      </c>
      <c r="D123" s="42">
        <v>113</v>
      </c>
      <c r="E123" s="42">
        <v>30</v>
      </c>
      <c r="F123" s="42">
        <v>67</v>
      </c>
      <c r="G123" s="42">
        <v>37</v>
      </c>
      <c r="H123" s="42">
        <v>51</v>
      </c>
      <c r="I123" s="42">
        <v>36</v>
      </c>
      <c r="J123" s="42">
        <v>126</v>
      </c>
      <c r="K123" s="42">
        <v>427</v>
      </c>
      <c r="L123" s="42">
        <v>1970</v>
      </c>
      <c r="M123" s="42">
        <v>2337</v>
      </c>
      <c r="N123" s="42">
        <v>859</v>
      </c>
      <c r="O123" s="42">
        <v>2480</v>
      </c>
      <c r="P123" s="42">
        <v>1107</v>
      </c>
      <c r="Q123" s="42">
        <v>1517</v>
      </c>
      <c r="R123" s="42">
        <v>1122</v>
      </c>
      <c r="S123" s="42">
        <v>2533</v>
      </c>
      <c r="T123" s="43">
        <v>43.1</v>
      </c>
      <c r="U123" s="43">
        <v>55.3</v>
      </c>
      <c r="V123" s="43">
        <v>48.4</v>
      </c>
      <c r="W123" s="44">
        <v>34.700000000000003</v>
      </c>
      <c r="X123" s="44">
        <v>26.9</v>
      </c>
      <c r="Y123" s="44">
        <v>33.799999999999997</v>
      </c>
      <c r="Z123" s="44">
        <v>33.9</v>
      </c>
      <c r="AA123" s="44">
        <v>32.1</v>
      </c>
      <c r="AB123" s="44">
        <v>49.7</v>
      </c>
    </row>
    <row r="124" spans="1:28" ht="45.95" customHeight="1" x14ac:dyDescent="0.25">
      <c r="A124" s="40" t="s">
        <v>203</v>
      </c>
      <c r="B124" s="45" t="s">
        <v>16</v>
      </c>
      <c r="C124" s="45" t="s">
        <v>16</v>
      </c>
      <c r="D124" s="45" t="s">
        <v>16</v>
      </c>
      <c r="E124" s="45" t="s">
        <v>16</v>
      </c>
      <c r="F124" s="45" t="s">
        <v>16</v>
      </c>
      <c r="G124" s="45" t="s">
        <v>16</v>
      </c>
      <c r="H124" s="45" t="s">
        <v>16</v>
      </c>
      <c r="I124" s="45" t="s">
        <v>16</v>
      </c>
      <c r="J124" s="45" t="s">
        <v>16</v>
      </c>
      <c r="K124" s="45" t="s">
        <v>16</v>
      </c>
      <c r="L124" s="45" t="s">
        <v>16</v>
      </c>
      <c r="M124" s="45" t="s">
        <v>16</v>
      </c>
      <c r="N124" s="45" t="s">
        <v>16</v>
      </c>
      <c r="O124" s="45" t="s">
        <v>16</v>
      </c>
      <c r="P124" s="45" t="s">
        <v>16</v>
      </c>
      <c r="Q124" s="45" t="s">
        <v>16</v>
      </c>
      <c r="R124" s="45" t="s">
        <v>16</v>
      </c>
      <c r="S124" s="45" t="s">
        <v>16</v>
      </c>
      <c r="T124" s="46"/>
      <c r="U124" s="46"/>
      <c r="V124" s="46"/>
      <c r="W124" s="47"/>
      <c r="X124" s="47"/>
      <c r="Y124" s="47"/>
      <c r="Z124" s="47"/>
      <c r="AA124" s="47"/>
      <c r="AB124" s="47"/>
    </row>
    <row r="125" spans="1:28" ht="15" customHeight="1" x14ac:dyDescent="0.25">
      <c r="A125" s="35" t="s">
        <v>204</v>
      </c>
      <c r="B125" s="42">
        <v>76</v>
      </c>
      <c r="C125" s="42">
        <v>233</v>
      </c>
      <c r="D125" s="42">
        <v>254</v>
      </c>
      <c r="E125" s="42">
        <v>86</v>
      </c>
      <c r="F125" s="42">
        <v>127</v>
      </c>
      <c r="G125" s="42">
        <v>68</v>
      </c>
      <c r="H125" s="42">
        <v>109</v>
      </c>
      <c r="I125" s="42">
        <v>96</v>
      </c>
      <c r="J125" s="42">
        <v>151</v>
      </c>
      <c r="K125" s="42">
        <v>1517</v>
      </c>
      <c r="L125" s="42">
        <v>5427</v>
      </c>
      <c r="M125" s="42">
        <v>5758</v>
      </c>
      <c r="N125" s="42">
        <v>2548</v>
      </c>
      <c r="O125" s="42">
        <v>4501</v>
      </c>
      <c r="P125" s="42">
        <v>2101</v>
      </c>
      <c r="Q125" s="42">
        <v>3317</v>
      </c>
      <c r="R125" s="42">
        <v>1945</v>
      </c>
      <c r="S125" s="42">
        <v>3830</v>
      </c>
      <c r="T125" s="43">
        <v>50.1</v>
      </c>
      <c r="U125" s="43">
        <v>42.8</v>
      </c>
      <c r="V125" s="43">
        <v>44.1</v>
      </c>
      <c r="W125" s="44">
        <v>33.700000000000003</v>
      </c>
      <c r="X125" s="44">
        <v>28.3</v>
      </c>
      <c r="Y125" s="44">
        <v>32.200000000000003</v>
      </c>
      <c r="Z125" s="44">
        <v>33</v>
      </c>
      <c r="AA125" s="44">
        <v>49.3</v>
      </c>
      <c r="AB125" s="44">
        <v>39.5</v>
      </c>
    </row>
    <row r="126" spans="1:28" ht="15" customHeight="1" x14ac:dyDescent="0.25">
      <c r="A126" s="39" t="s">
        <v>205</v>
      </c>
      <c r="B126" s="42">
        <v>30</v>
      </c>
      <c r="C126" s="42">
        <v>68</v>
      </c>
      <c r="D126" s="42">
        <v>101</v>
      </c>
      <c r="E126" s="42">
        <v>40</v>
      </c>
      <c r="F126" s="42">
        <v>55</v>
      </c>
      <c r="G126" s="42">
        <v>32</v>
      </c>
      <c r="H126" s="42">
        <v>39</v>
      </c>
      <c r="I126" s="42" t="s">
        <v>28</v>
      </c>
      <c r="J126" s="42">
        <v>38</v>
      </c>
      <c r="K126" s="42">
        <v>535</v>
      </c>
      <c r="L126" s="42">
        <v>1413</v>
      </c>
      <c r="M126" s="42">
        <v>2171</v>
      </c>
      <c r="N126" s="42">
        <v>1166</v>
      </c>
      <c r="O126" s="42">
        <v>1536</v>
      </c>
      <c r="P126" s="42">
        <v>678</v>
      </c>
      <c r="Q126" s="42">
        <v>1084</v>
      </c>
      <c r="R126" s="42">
        <v>824</v>
      </c>
      <c r="S126" s="42">
        <v>696</v>
      </c>
      <c r="T126" s="43">
        <v>55.3</v>
      </c>
      <c r="U126" s="43">
        <v>48.2</v>
      </c>
      <c r="V126" s="43">
        <v>46.6</v>
      </c>
      <c r="W126" s="44">
        <v>34.6</v>
      </c>
      <c r="X126" s="44">
        <v>36</v>
      </c>
      <c r="Y126" s="44">
        <v>47.4</v>
      </c>
      <c r="Z126" s="44">
        <v>36.299999999999997</v>
      </c>
      <c r="AA126" s="44">
        <v>64.400000000000006</v>
      </c>
      <c r="AB126" s="44">
        <v>54.5</v>
      </c>
    </row>
    <row r="127" spans="1:28" ht="15" customHeight="1" x14ac:dyDescent="0.25">
      <c r="A127" s="39" t="s">
        <v>206</v>
      </c>
      <c r="B127" s="42" t="s">
        <v>28</v>
      </c>
      <c r="C127" s="42" t="s">
        <v>28</v>
      </c>
      <c r="D127" s="42" t="s">
        <v>28</v>
      </c>
      <c r="E127" s="42" t="s">
        <v>28</v>
      </c>
      <c r="F127" s="42">
        <v>9</v>
      </c>
      <c r="G127" s="42" t="s">
        <v>28</v>
      </c>
      <c r="H127" s="42" t="s">
        <v>28</v>
      </c>
      <c r="I127" s="42" t="s">
        <v>28</v>
      </c>
      <c r="J127" s="42" t="s">
        <v>28</v>
      </c>
      <c r="K127" s="42" t="s">
        <v>28</v>
      </c>
      <c r="L127" s="42" t="s">
        <v>28</v>
      </c>
      <c r="M127" s="42" t="s">
        <v>28</v>
      </c>
      <c r="N127" s="42" t="s">
        <v>28</v>
      </c>
      <c r="O127" s="42">
        <v>273</v>
      </c>
      <c r="P127" s="42" t="s">
        <v>28</v>
      </c>
      <c r="Q127" s="42" t="s">
        <v>28</v>
      </c>
      <c r="R127" s="42" t="s">
        <v>28</v>
      </c>
      <c r="S127" s="42" t="s">
        <v>28</v>
      </c>
      <c r="T127" s="43" t="s">
        <v>28</v>
      </c>
      <c r="U127" s="43" t="s">
        <v>28</v>
      </c>
      <c r="V127" s="43" t="s">
        <v>28</v>
      </c>
      <c r="W127" s="44" t="s">
        <v>28</v>
      </c>
      <c r="X127" s="44">
        <v>34.1</v>
      </c>
      <c r="Y127" s="44" t="s">
        <v>28</v>
      </c>
      <c r="Z127" s="44" t="s">
        <v>28</v>
      </c>
      <c r="AA127" s="44" t="s">
        <v>28</v>
      </c>
      <c r="AB127" s="44" t="s">
        <v>28</v>
      </c>
    </row>
    <row r="128" spans="1:28" ht="15" customHeight="1" x14ac:dyDescent="0.25">
      <c r="A128" s="39" t="s">
        <v>207</v>
      </c>
      <c r="B128" s="42">
        <v>47</v>
      </c>
      <c r="C128" s="42">
        <v>144</v>
      </c>
      <c r="D128" s="42">
        <v>141</v>
      </c>
      <c r="E128" s="42">
        <v>55</v>
      </c>
      <c r="F128" s="42">
        <v>59</v>
      </c>
      <c r="G128" s="42">
        <v>43</v>
      </c>
      <c r="H128" s="42">
        <v>58</v>
      </c>
      <c r="I128" s="42">
        <v>38</v>
      </c>
      <c r="J128" s="42">
        <v>78</v>
      </c>
      <c r="K128" s="42">
        <v>804</v>
      </c>
      <c r="L128" s="42">
        <v>3270</v>
      </c>
      <c r="M128" s="42">
        <v>2932</v>
      </c>
      <c r="N128" s="42">
        <v>1564</v>
      </c>
      <c r="O128" s="42">
        <v>1916</v>
      </c>
      <c r="P128" s="42">
        <v>1359</v>
      </c>
      <c r="Q128" s="42">
        <v>1749</v>
      </c>
      <c r="R128" s="42">
        <v>945</v>
      </c>
      <c r="S128" s="42">
        <v>1612</v>
      </c>
      <c r="T128" s="43">
        <v>58.6</v>
      </c>
      <c r="U128" s="43">
        <v>44.2</v>
      </c>
      <c r="V128" s="43">
        <v>48.1</v>
      </c>
      <c r="W128" s="44">
        <v>34.9</v>
      </c>
      <c r="X128" s="44">
        <v>30.9</v>
      </c>
      <c r="Y128" s="44">
        <v>31.8</v>
      </c>
      <c r="Z128" s="44">
        <v>33</v>
      </c>
      <c r="AA128" s="44">
        <v>40.4</v>
      </c>
      <c r="AB128" s="44">
        <v>48.7</v>
      </c>
    </row>
    <row r="129" spans="1:28" ht="15" customHeight="1" x14ac:dyDescent="0.25">
      <c r="A129" s="39" t="s">
        <v>208</v>
      </c>
      <c r="B129" s="36" t="s">
        <v>28</v>
      </c>
      <c r="C129" s="36">
        <v>17</v>
      </c>
      <c r="D129" s="36">
        <v>19</v>
      </c>
      <c r="E129" s="36">
        <v>14</v>
      </c>
      <c r="F129" s="36">
        <v>13</v>
      </c>
      <c r="G129" s="36" t="s">
        <v>28</v>
      </c>
      <c r="H129" s="36" t="s">
        <v>28</v>
      </c>
      <c r="I129" s="36" t="s">
        <v>28</v>
      </c>
      <c r="J129" s="36" t="s">
        <v>28</v>
      </c>
      <c r="K129" s="36" t="s">
        <v>28</v>
      </c>
      <c r="L129" s="36">
        <v>554</v>
      </c>
      <c r="M129" s="36">
        <v>525</v>
      </c>
      <c r="N129" s="36">
        <v>356</v>
      </c>
      <c r="O129" s="36">
        <v>551</v>
      </c>
      <c r="P129" s="36" t="s">
        <v>28</v>
      </c>
      <c r="Q129" s="36">
        <v>266</v>
      </c>
      <c r="R129" s="36" t="s">
        <v>28</v>
      </c>
      <c r="S129" s="36">
        <v>565</v>
      </c>
      <c r="T129" s="37" t="s">
        <v>28</v>
      </c>
      <c r="U129" s="37">
        <v>30.9</v>
      </c>
      <c r="V129" s="37">
        <v>37</v>
      </c>
      <c r="W129" s="38">
        <v>39.9</v>
      </c>
      <c r="X129" s="38">
        <v>24.3</v>
      </c>
      <c r="Y129" s="38" t="s">
        <v>28</v>
      </c>
      <c r="Z129" s="38" t="s">
        <v>28</v>
      </c>
      <c r="AA129" s="38" t="s">
        <v>28</v>
      </c>
      <c r="AB129" s="38">
        <v>41.4</v>
      </c>
    </row>
    <row r="130" spans="1:28" ht="15" customHeight="1" x14ac:dyDescent="0.25">
      <c r="A130" s="39" t="s">
        <v>209</v>
      </c>
      <c r="B130" s="36">
        <v>36</v>
      </c>
      <c r="C130" s="36">
        <v>120</v>
      </c>
      <c r="D130" s="36">
        <v>130</v>
      </c>
      <c r="E130" s="36">
        <v>45</v>
      </c>
      <c r="F130" s="36">
        <v>59</v>
      </c>
      <c r="G130" s="36">
        <v>32</v>
      </c>
      <c r="H130" s="36">
        <v>55</v>
      </c>
      <c r="I130" s="36" t="s">
        <v>28</v>
      </c>
      <c r="J130" s="36">
        <v>84</v>
      </c>
      <c r="K130" s="36">
        <v>983</v>
      </c>
      <c r="L130" s="36">
        <v>3008</v>
      </c>
      <c r="M130" s="36">
        <v>3008</v>
      </c>
      <c r="N130" s="36">
        <v>1271</v>
      </c>
      <c r="O130" s="36">
        <v>1964</v>
      </c>
      <c r="P130" s="36">
        <v>886</v>
      </c>
      <c r="Q130" s="36">
        <v>1506</v>
      </c>
      <c r="R130" s="36">
        <v>1227</v>
      </c>
      <c r="S130" s="36">
        <v>2223</v>
      </c>
      <c r="T130" s="37">
        <v>37.1</v>
      </c>
      <c r="U130" s="37">
        <v>39.799999999999997</v>
      </c>
      <c r="V130" s="37">
        <v>43.3</v>
      </c>
      <c r="W130" s="38">
        <v>35.700000000000003</v>
      </c>
      <c r="X130" s="38">
        <v>30.2</v>
      </c>
      <c r="Y130" s="38">
        <v>36.5</v>
      </c>
      <c r="Z130" s="38">
        <v>36.700000000000003</v>
      </c>
      <c r="AA130" s="38">
        <v>53.9</v>
      </c>
      <c r="AB130" s="38">
        <v>37.6</v>
      </c>
    </row>
    <row r="131" spans="1:28" ht="15" customHeight="1" x14ac:dyDescent="0.25">
      <c r="A131" s="39" t="s">
        <v>210</v>
      </c>
      <c r="B131" s="36">
        <v>31</v>
      </c>
      <c r="C131" s="36">
        <v>63</v>
      </c>
      <c r="D131" s="36">
        <v>73</v>
      </c>
      <c r="E131" s="36">
        <v>28</v>
      </c>
      <c r="F131" s="36">
        <v>36</v>
      </c>
      <c r="G131" s="36">
        <v>23</v>
      </c>
      <c r="H131" s="36">
        <v>39</v>
      </c>
      <c r="I131" s="36" t="s">
        <v>28</v>
      </c>
      <c r="J131" s="36">
        <v>33</v>
      </c>
      <c r="K131" s="36">
        <v>569</v>
      </c>
      <c r="L131" s="36">
        <v>1793</v>
      </c>
      <c r="M131" s="36">
        <v>1821</v>
      </c>
      <c r="N131" s="36">
        <v>747</v>
      </c>
      <c r="O131" s="36">
        <v>1378</v>
      </c>
      <c r="P131" s="36">
        <v>476</v>
      </c>
      <c r="Q131" s="36">
        <v>705</v>
      </c>
      <c r="R131" s="36">
        <v>718</v>
      </c>
      <c r="S131" s="36">
        <v>1080</v>
      </c>
      <c r="T131" s="37">
        <v>53.9</v>
      </c>
      <c r="U131" s="37">
        <v>34.9</v>
      </c>
      <c r="V131" s="37">
        <v>40.1</v>
      </c>
      <c r="W131" s="38">
        <v>37.700000000000003</v>
      </c>
      <c r="X131" s="38">
        <v>25.9</v>
      </c>
      <c r="Y131" s="38">
        <v>48.5</v>
      </c>
      <c r="Z131" s="38">
        <v>55.3</v>
      </c>
      <c r="AA131" s="38">
        <v>72.5</v>
      </c>
      <c r="AB131" s="38">
        <v>31</v>
      </c>
    </row>
    <row r="132" spans="1:28" ht="15" customHeight="1" x14ac:dyDescent="0.25">
      <c r="A132" s="39" t="s">
        <v>211</v>
      </c>
      <c r="B132" s="36">
        <v>45</v>
      </c>
      <c r="C132" s="36">
        <v>171</v>
      </c>
      <c r="D132" s="36">
        <v>164</v>
      </c>
      <c r="E132" s="36">
        <v>53</v>
      </c>
      <c r="F132" s="36">
        <v>85</v>
      </c>
      <c r="G132" s="36">
        <v>50</v>
      </c>
      <c r="H132" s="36">
        <v>73</v>
      </c>
      <c r="I132" s="36">
        <v>74</v>
      </c>
      <c r="J132" s="36">
        <v>107</v>
      </c>
      <c r="K132" s="36">
        <v>1073</v>
      </c>
      <c r="L132" s="36">
        <v>3927</v>
      </c>
      <c r="M132" s="36">
        <v>4023</v>
      </c>
      <c r="N132" s="36">
        <v>1451</v>
      </c>
      <c r="O132" s="36">
        <v>2819</v>
      </c>
      <c r="P132" s="36">
        <v>1206</v>
      </c>
      <c r="Q132" s="36">
        <v>2227</v>
      </c>
      <c r="R132" s="36">
        <v>1385</v>
      </c>
      <c r="S132" s="36">
        <v>2328</v>
      </c>
      <c r="T132" s="37">
        <v>41.8</v>
      </c>
      <c r="U132" s="37">
        <v>43.6</v>
      </c>
      <c r="V132" s="37">
        <v>40.799999999999997</v>
      </c>
      <c r="W132" s="38">
        <v>36.700000000000003</v>
      </c>
      <c r="X132" s="38">
        <v>30</v>
      </c>
      <c r="Y132" s="38">
        <v>41.6</v>
      </c>
      <c r="Z132" s="38">
        <v>32.6</v>
      </c>
      <c r="AA132" s="38">
        <v>53.4</v>
      </c>
      <c r="AB132" s="38">
        <v>45.9</v>
      </c>
    </row>
    <row r="133" spans="1:28" ht="15" customHeight="1" x14ac:dyDescent="0.25">
      <c r="A133" s="39" t="s">
        <v>212</v>
      </c>
      <c r="B133" s="36">
        <v>59</v>
      </c>
      <c r="C133" s="36">
        <v>138</v>
      </c>
      <c r="D133" s="36">
        <v>165</v>
      </c>
      <c r="E133" s="36">
        <v>58</v>
      </c>
      <c r="F133" s="36">
        <v>72</v>
      </c>
      <c r="G133" s="36">
        <v>47</v>
      </c>
      <c r="H133" s="36">
        <v>71</v>
      </c>
      <c r="I133" s="36">
        <v>72</v>
      </c>
      <c r="J133" s="36">
        <v>108</v>
      </c>
      <c r="K133" s="36">
        <v>1076</v>
      </c>
      <c r="L133" s="36">
        <v>3542</v>
      </c>
      <c r="M133" s="36">
        <v>3625</v>
      </c>
      <c r="N133" s="36">
        <v>1465</v>
      </c>
      <c r="O133" s="36">
        <v>2661</v>
      </c>
      <c r="P133" s="36">
        <v>1116</v>
      </c>
      <c r="Q133" s="36">
        <v>2053</v>
      </c>
      <c r="R133" s="36">
        <v>1317</v>
      </c>
      <c r="S133" s="36">
        <v>2443</v>
      </c>
      <c r="T133" s="37">
        <v>55</v>
      </c>
      <c r="U133" s="37">
        <v>38.9</v>
      </c>
      <c r="V133" s="37">
        <v>45.5</v>
      </c>
      <c r="W133" s="38">
        <v>39.799999999999997</v>
      </c>
      <c r="X133" s="38">
        <v>27.1</v>
      </c>
      <c r="Y133" s="38">
        <v>42.3</v>
      </c>
      <c r="Z133" s="38">
        <v>34.6</v>
      </c>
      <c r="AA133" s="38">
        <v>54.5</v>
      </c>
      <c r="AB133" s="38">
        <v>44.1</v>
      </c>
    </row>
    <row r="134" spans="1:28" ht="15" customHeight="1" x14ac:dyDescent="0.25">
      <c r="A134" s="39" t="s">
        <v>213</v>
      </c>
      <c r="B134" s="36">
        <v>35</v>
      </c>
      <c r="C134" s="36">
        <v>103</v>
      </c>
      <c r="D134" s="36">
        <v>100</v>
      </c>
      <c r="E134" s="36">
        <v>42</v>
      </c>
      <c r="F134" s="36">
        <v>52</v>
      </c>
      <c r="G134" s="36">
        <v>26</v>
      </c>
      <c r="H134" s="36">
        <v>46</v>
      </c>
      <c r="I134" s="36" t="s">
        <v>28</v>
      </c>
      <c r="J134" s="36">
        <v>76</v>
      </c>
      <c r="K134" s="36">
        <v>748</v>
      </c>
      <c r="L134" s="36">
        <v>2407</v>
      </c>
      <c r="M134" s="36">
        <v>2182</v>
      </c>
      <c r="N134" s="36">
        <v>981</v>
      </c>
      <c r="O134" s="36">
        <v>1627</v>
      </c>
      <c r="P134" s="36">
        <v>734</v>
      </c>
      <c r="Q134" s="36">
        <v>1367</v>
      </c>
      <c r="R134" s="36">
        <v>873</v>
      </c>
      <c r="S134" s="36">
        <v>1455</v>
      </c>
      <c r="T134" s="37">
        <v>47.3</v>
      </c>
      <c r="U134" s="37">
        <v>43</v>
      </c>
      <c r="V134" s="37">
        <v>45.8</v>
      </c>
      <c r="W134" s="38">
        <v>42.8</v>
      </c>
      <c r="X134" s="38">
        <v>31.8</v>
      </c>
      <c r="Y134" s="38">
        <v>36</v>
      </c>
      <c r="Z134" s="38">
        <v>33.299999999999997</v>
      </c>
      <c r="AA134" s="38">
        <v>65.900000000000006</v>
      </c>
      <c r="AB134" s="38">
        <v>51.9</v>
      </c>
    </row>
    <row r="135" spans="1:28" ht="15" customHeight="1" x14ac:dyDescent="0.25">
      <c r="A135" s="39" t="s">
        <v>214</v>
      </c>
      <c r="B135" s="36">
        <v>37</v>
      </c>
      <c r="C135" s="36">
        <v>94</v>
      </c>
      <c r="D135" s="36">
        <v>89</v>
      </c>
      <c r="E135" s="36">
        <v>32</v>
      </c>
      <c r="F135" s="36">
        <v>45</v>
      </c>
      <c r="G135" s="36">
        <v>33</v>
      </c>
      <c r="H135" s="36">
        <v>48</v>
      </c>
      <c r="I135" s="36" t="s">
        <v>28</v>
      </c>
      <c r="J135" s="36">
        <v>72</v>
      </c>
      <c r="K135" s="36">
        <v>694</v>
      </c>
      <c r="L135" s="36">
        <v>1985</v>
      </c>
      <c r="M135" s="36">
        <v>2027</v>
      </c>
      <c r="N135" s="36">
        <v>792</v>
      </c>
      <c r="O135" s="36">
        <v>1418</v>
      </c>
      <c r="P135" s="36">
        <v>618</v>
      </c>
      <c r="Q135" s="36">
        <v>1005</v>
      </c>
      <c r="R135" s="36">
        <v>634</v>
      </c>
      <c r="S135" s="36">
        <v>1378</v>
      </c>
      <c r="T135" s="37">
        <v>52.8</v>
      </c>
      <c r="U135" s="37">
        <v>47.4</v>
      </c>
      <c r="V135" s="37">
        <v>43.8</v>
      </c>
      <c r="W135" s="38">
        <v>40.299999999999997</v>
      </c>
      <c r="X135" s="38">
        <v>32.1</v>
      </c>
      <c r="Y135" s="38">
        <v>53.1</v>
      </c>
      <c r="Z135" s="38">
        <v>47.5</v>
      </c>
      <c r="AA135" s="38">
        <v>83.1</v>
      </c>
      <c r="AB135" s="38">
        <v>52.4</v>
      </c>
    </row>
    <row r="136" spans="1:28" ht="15" customHeight="1" x14ac:dyDescent="0.25">
      <c r="A136" s="39" t="s">
        <v>215</v>
      </c>
      <c r="B136" s="36">
        <v>15</v>
      </c>
      <c r="C136" s="36">
        <v>46</v>
      </c>
      <c r="D136" s="36">
        <v>45</v>
      </c>
      <c r="E136" s="36">
        <v>22</v>
      </c>
      <c r="F136" s="36">
        <v>21</v>
      </c>
      <c r="G136" s="36" t="s">
        <v>28</v>
      </c>
      <c r="H136" s="36">
        <v>33</v>
      </c>
      <c r="I136" s="36" t="s">
        <v>28</v>
      </c>
      <c r="J136" s="36">
        <v>30</v>
      </c>
      <c r="K136" s="36">
        <v>437</v>
      </c>
      <c r="L136" s="36">
        <v>941</v>
      </c>
      <c r="M136" s="36">
        <v>1032</v>
      </c>
      <c r="N136" s="36">
        <v>752</v>
      </c>
      <c r="O136" s="36">
        <v>779</v>
      </c>
      <c r="P136" s="36" t="s">
        <v>28</v>
      </c>
      <c r="Q136" s="36">
        <v>614</v>
      </c>
      <c r="R136" s="36" t="s">
        <v>28</v>
      </c>
      <c r="S136" s="36">
        <v>676</v>
      </c>
      <c r="T136" s="37">
        <v>34.299999999999997</v>
      </c>
      <c r="U136" s="37">
        <v>48.8</v>
      </c>
      <c r="V136" s="37">
        <v>43.2</v>
      </c>
      <c r="W136" s="38">
        <v>29.7</v>
      </c>
      <c r="X136" s="38">
        <v>26.6</v>
      </c>
      <c r="Y136" s="38" t="s">
        <v>28</v>
      </c>
      <c r="Z136" s="38">
        <v>53.9</v>
      </c>
      <c r="AA136" s="38" t="s">
        <v>28</v>
      </c>
      <c r="AB136" s="38">
        <v>43.9</v>
      </c>
    </row>
    <row r="137" spans="1:28" ht="15" customHeight="1" x14ac:dyDescent="0.25">
      <c r="A137" s="39" t="s">
        <v>216</v>
      </c>
      <c r="B137" s="36">
        <v>43</v>
      </c>
      <c r="C137" s="36">
        <v>108</v>
      </c>
      <c r="D137" s="36">
        <v>103</v>
      </c>
      <c r="E137" s="36">
        <v>39</v>
      </c>
      <c r="F137" s="36">
        <v>58</v>
      </c>
      <c r="G137" s="36">
        <v>36</v>
      </c>
      <c r="H137" s="36">
        <v>52</v>
      </c>
      <c r="I137" s="36">
        <v>35</v>
      </c>
      <c r="J137" s="36">
        <v>81</v>
      </c>
      <c r="K137" s="36">
        <v>879</v>
      </c>
      <c r="L137" s="36">
        <v>2661</v>
      </c>
      <c r="M137" s="36">
        <v>2333</v>
      </c>
      <c r="N137" s="36">
        <v>805</v>
      </c>
      <c r="O137" s="36">
        <v>1806</v>
      </c>
      <c r="P137" s="36">
        <v>650</v>
      </c>
      <c r="Q137" s="36">
        <v>1646</v>
      </c>
      <c r="R137" s="36">
        <v>831</v>
      </c>
      <c r="S137" s="36">
        <v>1615</v>
      </c>
      <c r="T137" s="37">
        <v>49</v>
      </c>
      <c r="U137" s="37">
        <v>40.5</v>
      </c>
      <c r="V137" s="37">
        <v>44</v>
      </c>
      <c r="W137" s="38">
        <v>48.8</v>
      </c>
      <c r="X137" s="38">
        <v>31.9</v>
      </c>
      <c r="Y137" s="38">
        <v>55.6</v>
      </c>
      <c r="Z137" s="38">
        <v>31.6</v>
      </c>
      <c r="AA137" s="38">
        <v>42.1</v>
      </c>
      <c r="AB137" s="38">
        <v>50.1</v>
      </c>
    </row>
    <row r="138" spans="1:28" ht="15" customHeight="1" x14ac:dyDescent="0.25">
      <c r="A138" s="39" t="s">
        <v>217</v>
      </c>
      <c r="B138" s="36" t="s">
        <v>28</v>
      </c>
      <c r="C138" s="36">
        <v>11</v>
      </c>
      <c r="D138" s="36">
        <v>16</v>
      </c>
      <c r="E138" s="36">
        <v>11</v>
      </c>
      <c r="F138" s="36">
        <v>14</v>
      </c>
      <c r="G138" s="36" t="s">
        <v>28</v>
      </c>
      <c r="H138" s="36" t="s">
        <v>28</v>
      </c>
      <c r="I138" s="36" t="s">
        <v>28</v>
      </c>
      <c r="J138" s="36">
        <v>27</v>
      </c>
      <c r="K138" s="36" t="s">
        <v>28</v>
      </c>
      <c r="L138" s="36">
        <v>310</v>
      </c>
      <c r="M138" s="36">
        <v>509</v>
      </c>
      <c r="N138" s="36">
        <v>224</v>
      </c>
      <c r="O138" s="36">
        <v>453</v>
      </c>
      <c r="P138" s="36" t="s">
        <v>28</v>
      </c>
      <c r="Q138" s="36" t="s">
        <v>28</v>
      </c>
      <c r="R138" s="36" t="s">
        <v>28</v>
      </c>
      <c r="S138" s="36">
        <v>547</v>
      </c>
      <c r="T138" s="37" t="s">
        <v>28</v>
      </c>
      <c r="U138" s="37">
        <v>36</v>
      </c>
      <c r="V138" s="37">
        <v>31.7</v>
      </c>
      <c r="W138" s="38">
        <v>50</v>
      </c>
      <c r="X138" s="38">
        <v>30.1</v>
      </c>
      <c r="Y138" s="38" t="s">
        <v>28</v>
      </c>
      <c r="Z138" s="38" t="s">
        <v>28</v>
      </c>
      <c r="AA138" s="38" t="s">
        <v>28</v>
      </c>
      <c r="AB138" s="38">
        <v>50.1</v>
      </c>
    </row>
    <row r="139" spans="1:28" ht="15" customHeight="1" x14ac:dyDescent="0.25">
      <c r="A139" s="39" t="s">
        <v>173</v>
      </c>
      <c r="B139" s="36" t="s">
        <v>28</v>
      </c>
      <c r="C139" s="36" t="s">
        <v>28</v>
      </c>
      <c r="D139" s="36" t="s">
        <v>28</v>
      </c>
      <c r="E139" s="36" t="s">
        <v>28</v>
      </c>
      <c r="F139" s="36" t="s">
        <v>28</v>
      </c>
      <c r="G139" s="36" t="s">
        <v>28</v>
      </c>
      <c r="H139" s="36" t="s">
        <v>28</v>
      </c>
      <c r="I139" s="36" t="s">
        <v>28</v>
      </c>
      <c r="J139" s="36" t="s">
        <v>28</v>
      </c>
      <c r="K139" s="36" t="s">
        <v>28</v>
      </c>
      <c r="L139" s="36" t="s">
        <v>28</v>
      </c>
      <c r="M139" s="36" t="s">
        <v>28</v>
      </c>
      <c r="N139" s="36" t="s">
        <v>28</v>
      </c>
      <c r="O139" s="36" t="s">
        <v>28</v>
      </c>
      <c r="P139" s="36" t="s">
        <v>28</v>
      </c>
      <c r="Q139" s="36" t="s">
        <v>28</v>
      </c>
      <c r="R139" s="36" t="s">
        <v>28</v>
      </c>
      <c r="S139" s="36" t="s">
        <v>28</v>
      </c>
      <c r="T139" s="37" t="s">
        <v>28</v>
      </c>
      <c r="U139" s="37" t="s">
        <v>28</v>
      </c>
      <c r="V139" s="37" t="s">
        <v>28</v>
      </c>
      <c r="W139" s="38" t="s">
        <v>28</v>
      </c>
      <c r="X139" s="38" t="s">
        <v>28</v>
      </c>
      <c r="Y139" s="38" t="s">
        <v>28</v>
      </c>
      <c r="Z139" s="38" t="s">
        <v>28</v>
      </c>
      <c r="AA139" s="38" t="s">
        <v>28</v>
      </c>
      <c r="AB139" s="38" t="s">
        <v>28</v>
      </c>
    </row>
    <row r="140" spans="1:28" ht="15" customHeight="1" x14ac:dyDescent="0.25">
      <c r="A140" s="41" t="s">
        <v>218</v>
      </c>
      <c r="B140" s="36">
        <v>30</v>
      </c>
      <c r="C140" s="36">
        <v>126</v>
      </c>
      <c r="D140" s="36">
        <v>195</v>
      </c>
      <c r="E140" s="36">
        <v>50</v>
      </c>
      <c r="F140" s="36">
        <v>134</v>
      </c>
      <c r="G140" s="36">
        <v>32</v>
      </c>
      <c r="H140" s="36">
        <v>82</v>
      </c>
      <c r="I140" s="36">
        <v>55</v>
      </c>
      <c r="J140" s="36">
        <v>134</v>
      </c>
      <c r="K140" s="36">
        <v>654</v>
      </c>
      <c r="L140" s="36">
        <v>2818</v>
      </c>
      <c r="M140" s="36">
        <v>4493</v>
      </c>
      <c r="N140" s="36">
        <v>1560</v>
      </c>
      <c r="O140" s="36">
        <v>4436</v>
      </c>
      <c r="P140" s="36">
        <v>1229</v>
      </c>
      <c r="Q140" s="36">
        <v>2656</v>
      </c>
      <c r="R140" s="36">
        <v>1590</v>
      </c>
      <c r="S140" s="36">
        <v>4523</v>
      </c>
      <c r="T140" s="37">
        <v>45.5</v>
      </c>
      <c r="U140" s="37">
        <v>44.7</v>
      </c>
      <c r="V140" s="37">
        <v>43.5</v>
      </c>
      <c r="W140" s="38">
        <v>31.9</v>
      </c>
      <c r="X140" s="38">
        <v>30.2</v>
      </c>
      <c r="Y140" s="38">
        <v>26.1</v>
      </c>
      <c r="Z140" s="38">
        <v>30.8</v>
      </c>
      <c r="AA140" s="38">
        <v>34.6</v>
      </c>
      <c r="AB140" s="38">
        <v>29.7</v>
      </c>
    </row>
    <row r="141" spans="1:28" ht="15" customHeight="1" x14ac:dyDescent="0.25">
      <c r="A141" s="41" t="s">
        <v>219</v>
      </c>
      <c r="B141" s="36" t="s">
        <v>28</v>
      </c>
      <c r="C141" s="36" t="s">
        <v>28</v>
      </c>
      <c r="D141" s="36">
        <v>32</v>
      </c>
      <c r="E141" s="36" t="s">
        <v>28</v>
      </c>
      <c r="F141" s="36">
        <v>36</v>
      </c>
      <c r="G141" s="36" t="s">
        <v>28</v>
      </c>
      <c r="H141" s="36">
        <v>10</v>
      </c>
      <c r="I141" s="36" t="s">
        <v>28</v>
      </c>
      <c r="J141" s="36" t="s">
        <v>28</v>
      </c>
      <c r="K141" s="36" t="s">
        <v>28</v>
      </c>
      <c r="L141" s="36" t="s">
        <v>28</v>
      </c>
      <c r="M141" s="36">
        <v>539</v>
      </c>
      <c r="N141" s="36" t="s">
        <v>28</v>
      </c>
      <c r="O141" s="36">
        <v>1048</v>
      </c>
      <c r="P141" s="36" t="s">
        <v>28</v>
      </c>
      <c r="Q141" s="36">
        <v>507</v>
      </c>
      <c r="R141" s="36" t="s">
        <v>28</v>
      </c>
      <c r="S141" s="36">
        <v>613</v>
      </c>
      <c r="T141" s="37" t="s">
        <v>28</v>
      </c>
      <c r="U141" s="37" t="s">
        <v>28</v>
      </c>
      <c r="V141" s="37">
        <v>60.1</v>
      </c>
      <c r="W141" s="38" t="s">
        <v>28</v>
      </c>
      <c r="X141" s="38">
        <v>34.700000000000003</v>
      </c>
      <c r="Y141" s="38" t="s">
        <v>28</v>
      </c>
      <c r="Z141" s="38">
        <v>20.399999999999999</v>
      </c>
      <c r="AA141" s="38" t="s">
        <v>28</v>
      </c>
      <c r="AB141" s="38">
        <v>55.9</v>
      </c>
    </row>
    <row r="142" spans="1:28" ht="33.950000000000003" customHeight="1" x14ac:dyDescent="0.25">
      <c r="A142" s="40" t="s">
        <v>220</v>
      </c>
      <c r="B142" s="45" t="s">
        <v>16</v>
      </c>
      <c r="C142" s="45" t="s">
        <v>16</v>
      </c>
      <c r="D142" s="45" t="s">
        <v>16</v>
      </c>
      <c r="E142" s="45" t="s">
        <v>16</v>
      </c>
      <c r="F142" s="45" t="s">
        <v>16</v>
      </c>
      <c r="G142" s="45" t="s">
        <v>16</v>
      </c>
      <c r="H142" s="45" t="s">
        <v>16</v>
      </c>
      <c r="I142" s="45" t="s">
        <v>16</v>
      </c>
      <c r="J142" s="45" t="s">
        <v>16</v>
      </c>
      <c r="K142" s="45" t="s">
        <v>16</v>
      </c>
      <c r="L142" s="45" t="s">
        <v>16</v>
      </c>
      <c r="M142" s="45" t="s">
        <v>16</v>
      </c>
      <c r="N142" s="45" t="s">
        <v>16</v>
      </c>
      <c r="O142" s="45" t="s">
        <v>16</v>
      </c>
      <c r="P142" s="45" t="s">
        <v>16</v>
      </c>
      <c r="Q142" s="45" t="s">
        <v>16</v>
      </c>
      <c r="R142" s="45" t="s">
        <v>16</v>
      </c>
      <c r="S142" s="45" t="s">
        <v>16</v>
      </c>
      <c r="T142" s="46"/>
      <c r="U142" s="46"/>
      <c r="V142" s="46"/>
      <c r="W142" s="47"/>
      <c r="X142" s="47"/>
      <c r="Y142" s="47"/>
      <c r="Z142" s="47"/>
      <c r="AA142" s="47"/>
      <c r="AB142" s="47"/>
    </row>
    <row r="143" spans="1:28" ht="15" customHeight="1" x14ac:dyDescent="0.25">
      <c r="A143" s="35" t="s">
        <v>221</v>
      </c>
      <c r="B143" s="42">
        <v>108</v>
      </c>
      <c r="C143" s="42">
        <v>379</v>
      </c>
      <c r="D143" s="42">
        <v>482</v>
      </c>
      <c r="E143" s="42">
        <v>145</v>
      </c>
      <c r="F143" s="42">
        <v>298</v>
      </c>
      <c r="G143" s="42">
        <v>101</v>
      </c>
      <c r="H143" s="42">
        <v>202</v>
      </c>
      <c r="I143" s="42">
        <v>159</v>
      </c>
      <c r="J143" s="42">
        <v>320</v>
      </c>
      <c r="K143" s="42">
        <v>2241</v>
      </c>
      <c r="L143" s="42">
        <v>8827</v>
      </c>
      <c r="M143" s="42">
        <v>10790</v>
      </c>
      <c r="N143" s="42">
        <v>4236</v>
      </c>
      <c r="O143" s="42">
        <v>9984</v>
      </c>
      <c r="P143" s="42">
        <v>3436</v>
      </c>
      <c r="Q143" s="42">
        <v>6480</v>
      </c>
      <c r="R143" s="42">
        <v>3766</v>
      </c>
      <c r="S143" s="42">
        <v>8966</v>
      </c>
      <c r="T143" s="43">
        <v>48.1</v>
      </c>
      <c r="U143" s="43">
        <v>43</v>
      </c>
      <c r="V143" s="43">
        <v>44.6</v>
      </c>
      <c r="W143" s="44">
        <v>34.299999999999997</v>
      </c>
      <c r="X143" s="44">
        <v>29.8</v>
      </c>
      <c r="Y143" s="44">
        <v>29.4</v>
      </c>
      <c r="Z143" s="44">
        <v>31.1</v>
      </c>
      <c r="AA143" s="44">
        <v>42.3</v>
      </c>
      <c r="AB143" s="44">
        <v>35.700000000000003</v>
      </c>
    </row>
    <row r="144" spans="1:28" ht="15" customHeight="1" x14ac:dyDescent="0.25">
      <c r="A144" s="41" t="s">
        <v>222</v>
      </c>
      <c r="B144" s="42">
        <v>108</v>
      </c>
      <c r="C144" s="42">
        <v>379</v>
      </c>
      <c r="D144" s="42">
        <v>482</v>
      </c>
      <c r="E144" s="42">
        <v>145</v>
      </c>
      <c r="F144" s="42">
        <v>298</v>
      </c>
      <c r="G144" s="42">
        <v>101</v>
      </c>
      <c r="H144" s="42">
        <v>202</v>
      </c>
      <c r="I144" s="42">
        <v>159</v>
      </c>
      <c r="J144" s="42">
        <v>320</v>
      </c>
      <c r="K144" s="42">
        <v>2241</v>
      </c>
      <c r="L144" s="42">
        <v>8827</v>
      </c>
      <c r="M144" s="42">
        <v>10790</v>
      </c>
      <c r="N144" s="42">
        <v>4236</v>
      </c>
      <c r="O144" s="42">
        <v>9984</v>
      </c>
      <c r="P144" s="42">
        <v>3436</v>
      </c>
      <c r="Q144" s="42">
        <v>6480</v>
      </c>
      <c r="R144" s="42">
        <v>3766</v>
      </c>
      <c r="S144" s="42">
        <v>8966</v>
      </c>
      <c r="T144" s="43">
        <v>48.1</v>
      </c>
      <c r="U144" s="43">
        <v>43</v>
      </c>
      <c r="V144" s="43">
        <v>44.6</v>
      </c>
      <c r="W144" s="44">
        <v>34.299999999999997</v>
      </c>
      <c r="X144" s="44">
        <v>29.8</v>
      </c>
      <c r="Y144" s="44">
        <v>29.4</v>
      </c>
      <c r="Z144" s="44">
        <v>31.1</v>
      </c>
      <c r="AA144" s="44">
        <v>42.3</v>
      </c>
      <c r="AB144" s="44">
        <v>35.700000000000003</v>
      </c>
    </row>
    <row r="145" spans="1:28" ht="15" customHeight="1" x14ac:dyDescent="0.25">
      <c r="A145" s="41" t="s">
        <v>223</v>
      </c>
      <c r="B145" s="42">
        <v>38</v>
      </c>
      <c r="C145" s="42">
        <v>115</v>
      </c>
      <c r="D145" s="42">
        <v>106</v>
      </c>
      <c r="E145" s="42">
        <v>44</v>
      </c>
      <c r="F145" s="42">
        <v>80</v>
      </c>
      <c r="G145" s="42">
        <v>26</v>
      </c>
      <c r="H145" s="42">
        <v>50</v>
      </c>
      <c r="I145" s="42" t="s">
        <v>28</v>
      </c>
      <c r="J145" s="42">
        <v>88</v>
      </c>
      <c r="K145" s="42">
        <v>558</v>
      </c>
      <c r="L145" s="42">
        <v>2950</v>
      </c>
      <c r="M145" s="42">
        <v>2036</v>
      </c>
      <c r="N145" s="42">
        <v>1035</v>
      </c>
      <c r="O145" s="42">
        <v>2732</v>
      </c>
      <c r="P145" s="42">
        <v>574</v>
      </c>
      <c r="Q145" s="42">
        <v>1150</v>
      </c>
      <c r="R145" s="42">
        <v>916</v>
      </c>
      <c r="S145" s="42">
        <v>1713</v>
      </c>
      <c r="T145" s="43">
        <v>68.599999999999994</v>
      </c>
      <c r="U145" s="43">
        <v>39.1</v>
      </c>
      <c r="V145" s="43">
        <v>52.2</v>
      </c>
      <c r="W145" s="44">
        <v>42.9</v>
      </c>
      <c r="X145" s="44">
        <v>29.2</v>
      </c>
      <c r="Y145" s="44">
        <v>45.2</v>
      </c>
      <c r="Z145" s="44">
        <v>43.7</v>
      </c>
      <c r="AA145" s="44">
        <v>65.599999999999994</v>
      </c>
      <c r="AB145" s="44">
        <v>51.1</v>
      </c>
    </row>
    <row r="146" spans="1:28" ht="15" customHeight="1" x14ac:dyDescent="0.25">
      <c r="A146" s="35" t="s">
        <v>224</v>
      </c>
      <c r="B146" s="42" t="s">
        <v>28</v>
      </c>
      <c r="C146" s="42" t="s">
        <v>28</v>
      </c>
      <c r="D146" s="42" t="s">
        <v>28</v>
      </c>
      <c r="E146" s="42" t="s">
        <v>28</v>
      </c>
      <c r="F146" s="42">
        <v>4</v>
      </c>
      <c r="G146" s="42" t="s">
        <v>28</v>
      </c>
      <c r="H146" s="42" t="s">
        <v>28</v>
      </c>
      <c r="I146" s="42" t="s">
        <v>28</v>
      </c>
      <c r="J146" s="42" t="s">
        <v>28</v>
      </c>
      <c r="K146" s="42" t="s">
        <v>28</v>
      </c>
      <c r="L146" s="42">
        <v>897</v>
      </c>
      <c r="M146" s="42">
        <v>220</v>
      </c>
      <c r="N146" s="42" t="s">
        <v>28</v>
      </c>
      <c r="O146" s="42" t="s">
        <v>28</v>
      </c>
      <c r="P146" s="42" t="s">
        <v>28</v>
      </c>
      <c r="Q146" s="42">
        <v>124</v>
      </c>
      <c r="R146" s="42" t="s">
        <v>28</v>
      </c>
      <c r="S146" s="42">
        <v>225</v>
      </c>
      <c r="T146" s="43" t="s">
        <v>28</v>
      </c>
      <c r="U146" s="43" t="s">
        <v>28</v>
      </c>
      <c r="V146" s="43">
        <v>18.2</v>
      </c>
      <c r="W146" s="44" t="s">
        <v>28</v>
      </c>
      <c r="X146" s="44" t="s">
        <v>28</v>
      </c>
      <c r="Y146" s="44" t="s">
        <v>28</v>
      </c>
      <c r="Z146" s="44" t="s">
        <v>28</v>
      </c>
      <c r="AA146" s="44" t="s">
        <v>28</v>
      </c>
      <c r="AB146" s="44" t="s">
        <v>28</v>
      </c>
    </row>
    <row r="147" spans="1:28" ht="15" customHeight="1" x14ac:dyDescent="0.25">
      <c r="A147" s="41" t="s">
        <v>225</v>
      </c>
      <c r="B147" s="42" t="s">
        <v>28</v>
      </c>
      <c r="C147" s="42" t="s">
        <v>28</v>
      </c>
      <c r="D147" s="42">
        <v>5</v>
      </c>
      <c r="E147" s="42" t="s">
        <v>28</v>
      </c>
      <c r="F147" s="42">
        <v>7</v>
      </c>
      <c r="G147" s="42" t="s">
        <v>28</v>
      </c>
      <c r="H147" s="42" t="s">
        <v>28</v>
      </c>
      <c r="I147" s="42" t="s">
        <v>28</v>
      </c>
      <c r="J147" s="42" t="s">
        <v>28</v>
      </c>
      <c r="K147" s="42" t="s">
        <v>28</v>
      </c>
      <c r="L147" s="42" t="s">
        <v>28</v>
      </c>
      <c r="M147" s="42">
        <v>220</v>
      </c>
      <c r="N147" s="42" t="s">
        <v>28</v>
      </c>
      <c r="O147" s="42" t="s">
        <v>28</v>
      </c>
      <c r="P147" s="42" t="s">
        <v>28</v>
      </c>
      <c r="Q147" s="42">
        <v>244</v>
      </c>
      <c r="R147" s="42" t="s">
        <v>28</v>
      </c>
      <c r="S147" s="42">
        <v>186</v>
      </c>
      <c r="T147" s="43" t="s">
        <v>28</v>
      </c>
      <c r="U147" s="43" t="s">
        <v>28</v>
      </c>
      <c r="V147" s="43">
        <v>20.8</v>
      </c>
      <c r="W147" s="44" t="s">
        <v>28</v>
      </c>
      <c r="X147" s="44" t="s">
        <v>28</v>
      </c>
      <c r="Y147" s="44" t="s">
        <v>28</v>
      </c>
      <c r="Z147" s="44" t="s">
        <v>28</v>
      </c>
      <c r="AA147" s="44" t="s">
        <v>28</v>
      </c>
      <c r="AB147" s="44">
        <v>133.9</v>
      </c>
    </row>
    <row r="148" spans="1:28" ht="15" customHeight="1" x14ac:dyDescent="0.25">
      <c r="A148" s="41" t="s">
        <v>226</v>
      </c>
      <c r="B148" s="36" t="s">
        <v>28</v>
      </c>
      <c r="C148" s="36">
        <v>13</v>
      </c>
      <c r="D148" s="36">
        <v>32</v>
      </c>
      <c r="E148" s="36" t="s">
        <v>28</v>
      </c>
      <c r="F148" s="36">
        <v>10</v>
      </c>
      <c r="G148" s="36" t="s">
        <v>28</v>
      </c>
      <c r="H148" s="36" t="s">
        <v>28</v>
      </c>
      <c r="I148" s="36" t="s">
        <v>28</v>
      </c>
      <c r="J148" s="36">
        <v>17</v>
      </c>
      <c r="K148" s="36" t="s">
        <v>28</v>
      </c>
      <c r="L148" s="36">
        <v>419</v>
      </c>
      <c r="M148" s="36">
        <v>555</v>
      </c>
      <c r="N148" s="36" t="s">
        <v>28</v>
      </c>
      <c r="O148" s="36">
        <v>419</v>
      </c>
      <c r="P148" s="36" t="s">
        <v>28</v>
      </c>
      <c r="Q148" s="36" t="s">
        <v>28</v>
      </c>
      <c r="R148" s="36" t="s">
        <v>28</v>
      </c>
      <c r="S148" s="36">
        <v>587</v>
      </c>
      <c r="T148" s="37" t="s">
        <v>28</v>
      </c>
      <c r="U148" s="37">
        <v>30.4</v>
      </c>
      <c r="V148" s="37">
        <v>57.5</v>
      </c>
      <c r="W148" s="38" t="s">
        <v>28</v>
      </c>
      <c r="X148" s="38">
        <v>24.6</v>
      </c>
      <c r="Y148" s="38" t="s">
        <v>28</v>
      </c>
      <c r="Z148" s="38" t="s">
        <v>28</v>
      </c>
      <c r="AA148" s="38" t="s">
        <v>28</v>
      </c>
      <c r="AB148" s="38">
        <v>29.4</v>
      </c>
    </row>
    <row r="149" spans="1:28" ht="15" customHeight="1" x14ac:dyDescent="0.25">
      <c r="A149" s="41" t="s">
        <v>173</v>
      </c>
      <c r="B149" s="36" t="s">
        <v>28</v>
      </c>
      <c r="C149" s="36" t="s">
        <v>28</v>
      </c>
      <c r="D149" s="36">
        <v>15</v>
      </c>
      <c r="E149" s="36" t="s">
        <v>28</v>
      </c>
      <c r="F149" s="36" t="s">
        <v>28</v>
      </c>
      <c r="G149" s="36" t="s">
        <v>28</v>
      </c>
      <c r="H149" s="36" t="s">
        <v>28</v>
      </c>
      <c r="I149" s="36">
        <v>9</v>
      </c>
      <c r="J149" s="36" t="s">
        <v>28</v>
      </c>
      <c r="K149" s="36" t="s">
        <v>28</v>
      </c>
      <c r="L149" s="36">
        <v>598</v>
      </c>
      <c r="M149" s="36">
        <v>439</v>
      </c>
      <c r="N149" s="36" t="s">
        <v>28</v>
      </c>
      <c r="O149" s="36" t="s">
        <v>28</v>
      </c>
      <c r="P149" s="36" t="s">
        <v>28</v>
      </c>
      <c r="Q149" s="36" t="s">
        <v>28</v>
      </c>
      <c r="R149" s="36">
        <v>305</v>
      </c>
      <c r="S149" s="36">
        <v>425</v>
      </c>
      <c r="T149" s="37" t="s">
        <v>28</v>
      </c>
      <c r="U149" s="37">
        <v>48.4</v>
      </c>
      <c r="V149" s="37">
        <v>33.4</v>
      </c>
      <c r="W149" s="38" t="s">
        <v>28</v>
      </c>
      <c r="X149" s="38" t="s">
        <v>28</v>
      </c>
      <c r="Y149" s="38" t="s">
        <v>28</v>
      </c>
      <c r="Z149" s="38" t="s">
        <v>28</v>
      </c>
      <c r="AA149" s="38">
        <v>28</v>
      </c>
      <c r="AB149" s="38">
        <v>57.9</v>
      </c>
    </row>
    <row r="150" spans="1:28" ht="24" customHeight="1" x14ac:dyDescent="0.25">
      <c r="A150" s="40" t="s">
        <v>227</v>
      </c>
      <c r="B150" s="45" t="s">
        <v>16</v>
      </c>
      <c r="C150" s="45" t="s">
        <v>16</v>
      </c>
      <c r="D150" s="45" t="s">
        <v>16</v>
      </c>
      <c r="E150" s="45" t="s">
        <v>16</v>
      </c>
      <c r="F150" s="45" t="s">
        <v>16</v>
      </c>
      <c r="G150" s="45" t="s">
        <v>16</v>
      </c>
      <c r="H150" s="45" t="s">
        <v>16</v>
      </c>
      <c r="I150" s="45" t="s">
        <v>16</v>
      </c>
      <c r="J150" s="45" t="s">
        <v>16</v>
      </c>
      <c r="K150" s="45" t="s">
        <v>16</v>
      </c>
      <c r="L150" s="45" t="s">
        <v>16</v>
      </c>
      <c r="M150" s="45" t="s">
        <v>16</v>
      </c>
      <c r="N150" s="45" t="s">
        <v>16</v>
      </c>
      <c r="O150" s="45" t="s">
        <v>16</v>
      </c>
      <c r="P150" s="45" t="s">
        <v>16</v>
      </c>
      <c r="Q150" s="45" t="s">
        <v>16</v>
      </c>
      <c r="R150" s="45" t="s">
        <v>16</v>
      </c>
      <c r="S150" s="45" t="s">
        <v>16</v>
      </c>
      <c r="T150" s="46"/>
      <c r="U150" s="46"/>
      <c r="V150" s="46"/>
      <c r="W150" s="47"/>
      <c r="X150" s="47"/>
      <c r="Y150" s="47"/>
      <c r="Z150" s="47"/>
      <c r="AA150" s="47"/>
      <c r="AB150" s="47"/>
    </row>
    <row r="151" spans="1:28" ht="15" customHeight="1" x14ac:dyDescent="0.25">
      <c r="A151" s="35" t="s">
        <v>222</v>
      </c>
      <c r="B151" s="42">
        <v>103</v>
      </c>
      <c r="C151" s="42">
        <v>337</v>
      </c>
      <c r="D151" s="42">
        <v>473</v>
      </c>
      <c r="E151" s="42">
        <v>141</v>
      </c>
      <c r="F151" s="42">
        <v>227</v>
      </c>
      <c r="G151" s="42">
        <v>92</v>
      </c>
      <c r="H151" s="42">
        <v>164</v>
      </c>
      <c r="I151" s="42">
        <v>119</v>
      </c>
      <c r="J151" s="42">
        <v>267</v>
      </c>
      <c r="K151" s="42">
        <v>1990</v>
      </c>
      <c r="L151" s="42">
        <v>7362</v>
      </c>
      <c r="M151" s="42">
        <v>10122</v>
      </c>
      <c r="N151" s="42">
        <v>3909</v>
      </c>
      <c r="O151" s="42">
        <v>7309</v>
      </c>
      <c r="P151" s="42">
        <v>2662</v>
      </c>
      <c r="Q151" s="42">
        <v>5467</v>
      </c>
      <c r="R151" s="42">
        <v>3180</v>
      </c>
      <c r="S151" s="42">
        <v>7509</v>
      </c>
      <c r="T151" s="43">
        <v>51.7</v>
      </c>
      <c r="U151" s="43">
        <v>45.8</v>
      </c>
      <c r="V151" s="43">
        <v>46.7</v>
      </c>
      <c r="W151" s="44">
        <v>36.1</v>
      </c>
      <c r="X151" s="44">
        <v>31</v>
      </c>
      <c r="Y151" s="44">
        <v>34.6</v>
      </c>
      <c r="Z151" s="44">
        <v>30</v>
      </c>
      <c r="AA151" s="44">
        <v>37.6</v>
      </c>
      <c r="AB151" s="44">
        <v>35.5</v>
      </c>
    </row>
    <row r="152" spans="1:28" ht="15" customHeight="1" x14ac:dyDescent="0.25">
      <c r="A152" s="39" t="s">
        <v>359</v>
      </c>
      <c r="B152" s="42">
        <v>98</v>
      </c>
      <c r="C152" s="42">
        <v>318</v>
      </c>
      <c r="D152" s="42">
        <v>453</v>
      </c>
      <c r="E152" s="42">
        <v>131</v>
      </c>
      <c r="F152" s="42">
        <v>183</v>
      </c>
      <c r="G152" s="42">
        <v>80</v>
      </c>
      <c r="H152" s="42">
        <v>132</v>
      </c>
      <c r="I152" s="42">
        <v>106</v>
      </c>
      <c r="J152" s="42">
        <v>223</v>
      </c>
      <c r="K152" s="42">
        <v>1811</v>
      </c>
      <c r="L152" s="42">
        <v>6555</v>
      </c>
      <c r="M152" s="42">
        <v>9587</v>
      </c>
      <c r="N152" s="42">
        <v>3497</v>
      </c>
      <c r="O152" s="42">
        <v>5694</v>
      </c>
      <c r="P152" s="42">
        <v>2067</v>
      </c>
      <c r="Q152" s="42">
        <v>4551</v>
      </c>
      <c r="R152" s="42">
        <v>2893</v>
      </c>
      <c r="S152" s="42">
        <v>6333</v>
      </c>
      <c r="T152" s="43">
        <v>54.3</v>
      </c>
      <c r="U152" s="43">
        <v>48.6</v>
      </c>
      <c r="V152" s="43">
        <v>47.3</v>
      </c>
      <c r="W152" s="44">
        <v>37.5</v>
      </c>
      <c r="X152" s="44">
        <v>32.200000000000003</v>
      </c>
      <c r="Y152" s="44">
        <v>38.700000000000003</v>
      </c>
      <c r="Z152" s="44">
        <v>29.1</v>
      </c>
      <c r="AA152" s="44">
        <v>36.6</v>
      </c>
      <c r="AB152" s="44">
        <v>35.299999999999997</v>
      </c>
    </row>
    <row r="153" spans="1:28" ht="15" customHeight="1" x14ac:dyDescent="0.25">
      <c r="A153" s="39" t="s">
        <v>360</v>
      </c>
      <c r="B153" s="42" t="s">
        <v>28</v>
      </c>
      <c r="C153" s="42">
        <v>19</v>
      </c>
      <c r="D153" s="42">
        <v>19</v>
      </c>
      <c r="E153" s="42">
        <v>10</v>
      </c>
      <c r="F153" s="42">
        <v>43</v>
      </c>
      <c r="G153" s="42">
        <v>12</v>
      </c>
      <c r="H153" s="42">
        <v>32</v>
      </c>
      <c r="I153" s="42">
        <v>14</v>
      </c>
      <c r="J153" s="42">
        <v>44</v>
      </c>
      <c r="K153" s="42" t="s">
        <v>28</v>
      </c>
      <c r="L153" s="42">
        <v>806</v>
      </c>
      <c r="M153" s="42">
        <v>535</v>
      </c>
      <c r="N153" s="42">
        <v>412</v>
      </c>
      <c r="O153" s="42">
        <v>1615</v>
      </c>
      <c r="P153" s="42">
        <v>595</v>
      </c>
      <c r="Q153" s="42">
        <v>916</v>
      </c>
      <c r="R153" s="42">
        <v>288</v>
      </c>
      <c r="S153" s="42">
        <v>1176</v>
      </c>
      <c r="T153" s="43" t="s">
        <v>28</v>
      </c>
      <c r="U153" s="43">
        <v>23</v>
      </c>
      <c r="V153" s="43">
        <v>36.200000000000003</v>
      </c>
      <c r="W153" s="44">
        <v>24.3</v>
      </c>
      <c r="X153" s="44">
        <v>26.7</v>
      </c>
      <c r="Y153" s="44">
        <v>20.3</v>
      </c>
      <c r="Z153" s="44">
        <v>34.799999999999997</v>
      </c>
      <c r="AA153" s="44">
        <v>47.7</v>
      </c>
      <c r="AB153" s="44">
        <v>37.1</v>
      </c>
    </row>
    <row r="154" spans="1:28" ht="15" customHeight="1" x14ac:dyDescent="0.25">
      <c r="A154" s="35" t="s">
        <v>361</v>
      </c>
      <c r="B154" s="42">
        <v>5</v>
      </c>
      <c r="C154" s="42" t="s">
        <v>28</v>
      </c>
      <c r="D154" s="42">
        <v>9</v>
      </c>
      <c r="E154" s="42">
        <v>4</v>
      </c>
      <c r="F154" s="42">
        <v>61</v>
      </c>
      <c r="G154" s="42">
        <v>9</v>
      </c>
      <c r="H154" s="42">
        <v>36</v>
      </c>
      <c r="I154" s="42" t="s">
        <v>28</v>
      </c>
      <c r="J154" s="42">
        <v>41</v>
      </c>
      <c r="K154" s="42">
        <v>251</v>
      </c>
      <c r="L154" s="42">
        <v>1458</v>
      </c>
      <c r="M154" s="42">
        <v>645</v>
      </c>
      <c r="N154" s="42">
        <v>326</v>
      </c>
      <c r="O154" s="42">
        <v>2405</v>
      </c>
      <c r="P154" s="42">
        <v>773</v>
      </c>
      <c r="Q154" s="42">
        <v>929</v>
      </c>
      <c r="R154" s="42">
        <v>582</v>
      </c>
      <c r="S154" s="42">
        <v>1250</v>
      </c>
      <c r="T154" s="43">
        <v>20</v>
      </c>
      <c r="U154" s="43" t="s">
        <v>28</v>
      </c>
      <c r="V154" s="43">
        <v>13.7</v>
      </c>
      <c r="W154" s="44">
        <v>11.8</v>
      </c>
      <c r="X154" s="44">
        <v>25.4</v>
      </c>
      <c r="Y154" s="44">
        <v>11.6</v>
      </c>
      <c r="Z154" s="44">
        <v>39</v>
      </c>
      <c r="AA154" s="44" t="s">
        <v>28</v>
      </c>
      <c r="AB154" s="44">
        <v>32.9</v>
      </c>
    </row>
    <row r="155" spans="1:28" ht="15" customHeight="1" x14ac:dyDescent="0.25">
      <c r="A155" s="41" t="s">
        <v>231</v>
      </c>
      <c r="B155" s="36" t="s">
        <v>127</v>
      </c>
      <c r="C155" s="36">
        <v>2</v>
      </c>
      <c r="D155" s="36" t="s">
        <v>256</v>
      </c>
      <c r="E155" s="36" t="s">
        <v>127</v>
      </c>
      <c r="F155" s="36">
        <v>10</v>
      </c>
      <c r="G155" s="36" t="s">
        <v>256</v>
      </c>
      <c r="H155" s="36" t="s">
        <v>28</v>
      </c>
      <c r="I155" s="36" t="s">
        <v>28</v>
      </c>
      <c r="J155" s="36" t="s">
        <v>28</v>
      </c>
      <c r="K155" s="36" t="s">
        <v>127</v>
      </c>
      <c r="L155" s="36">
        <v>7</v>
      </c>
      <c r="M155" s="36">
        <v>23</v>
      </c>
      <c r="N155" s="36" t="s">
        <v>127</v>
      </c>
      <c r="O155" s="36">
        <v>270</v>
      </c>
      <c r="P155" s="36">
        <v>2</v>
      </c>
      <c r="Q155" s="36" t="s">
        <v>28</v>
      </c>
      <c r="R155" s="36" t="s">
        <v>28</v>
      </c>
      <c r="S155" s="36" t="s">
        <v>28</v>
      </c>
      <c r="T155" s="37" t="s">
        <v>127</v>
      </c>
      <c r="U155" s="37">
        <v>214.2</v>
      </c>
      <c r="V155" s="37">
        <v>10.1</v>
      </c>
      <c r="W155" s="38" t="s">
        <v>127</v>
      </c>
      <c r="X155" s="38">
        <v>36.299999999999997</v>
      </c>
      <c r="Y155" s="38">
        <v>25.8</v>
      </c>
      <c r="Z155" s="38" t="s">
        <v>28</v>
      </c>
      <c r="AA155" s="38" t="s">
        <v>28</v>
      </c>
      <c r="AB155" s="38" t="s">
        <v>28</v>
      </c>
    </row>
    <row r="156" spans="1:28" ht="33.950000000000003" customHeight="1" x14ac:dyDescent="0.25">
      <c r="A156" s="40" t="s">
        <v>232</v>
      </c>
      <c r="B156" s="45" t="s">
        <v>16</v>
      </c>
      <c r="C156" s="45" t="s">
        <v>16</v>
      </c>
      <c r="D156" s="45" t="s">
        <v>16</v>
      </c>
      <c r="E156" s="45" t="s">
        <v>16</v>
      </c>
      <c r="F156" s="45" t="s">
        <v>16</v>
      </c>
      <c r="G156" s="45" t="s">
        <v>16</v>
      </c>
      <c r="H156" s="45" t="s">
        <v>16</v>
      </c>
      <c r="I156" s="45" t="s">
        <v>16</v>
      </c>
      <c r="J156" s="45" t="s">
        <v>16</v>
      </c>
      <c r="K156" s="45" t="s">
        <v>16</v>
      </c>
      <c r="L156" s="45" t="s">
        <v>16</v>
      </c>
      <c r="M156" s="45" t="s">
        <v>16</v>
      </c>
      <c r="N156" s="45" t="s">
        <v>16</v>
      </c>
      <c r="O156" s="45" t="s">
        <v>16</v>
      </c>
      <c r="P156" s="45" t="s">
        <v>16</v>
      </c>
      <c r="Q156" s="45" t="s">
        <v>16</v>
      </c>
      <c r="R156" s="45" t="s">
        <v>16</v>
      </c>
      <c r="S156" s="45" t="s">
        <v>16</v>
      </c>
      <c r="T156" s="46"/>
      <c r="U156" s="46"/>
      <c r="V156" s="46"/>
      <c r="W156" s="47"/>
      <c r="X156" s="47"/>
      <c r="Y156" s="47"/>
      <c r="Z156" s="47"/>
      <c r="AA156" s="47"/>
      <c r="AB156" s="47"/>
    </row>
    <row r="157" spans="1:28" ht="15" customHeight="1" x14ac:dyDescent="0.25">
      <c r="A157" s="35" t="s">
        <v>221</v>
      </c>
      <c r="B157" s="42" t="s">
        <v>28</v>
      </c>
      <c r="C157" s="42">
        <v>21</v>
      </c>
      <c r="D157" s="42">
        <v>25</v>
      </c>
      <c r="E157" s="42">
        <v>11</v>
      </c>
      <c r="F157" s="42">
        <v>99</v>
      </c>
      <c r="G157" s="42">
        <v>18</v>
      </c>
      <c r="H157" s="42">
        <v>59</v>
      </c>
      <c r="I157" s="42">
        <v>23</v>
      </c>
      <c r="J157" s="42">
        <v>65</v>
      </c>
      <c r="K157" s="42" t="s">
        <v>28</v>
      </c>
      <c r="L157" s="42">
        <v>1007</v>
      </c>
      <c r="M157" s="42">
        <v>934</v>
      </c>
      <c r="N157" s="42">
        <v>451</v>
      </c>
      <c r="O157" s="42">
        <v>3456</v>
      </c>
      <c r="P157" s="42">
        <v>1096</v>
      </c>
      <c r="Q157" s="42">
        <v>1719</v>
      </c>
      <c r="R157" s="42">
        <v>512</v>
      </c>
      <c r="S157" s="42">
        <v>2143</v>
      </c>
      <c r="T157" s="43" t="s">
        <v>28</v>
      </c>
      <c r="U157" s="43">
        <v>21.4</v>
      </c>
      <c r="V157" s="43">
        <v>26.4</v>
      </c>
      <c r="W157" s="44">
        <v>23.9</v>
      </c>
      <c r="X157" s="44">
        <v>28.7</v>
      </c>
      <c r="Y157" s="44">
        <v>16.2</v>
      </c>
      <c r="Z157" s="44">
        <v>34.299999999999997</v>
      </c>
      <c r="AA157" s="44">
        <v>45.3</v>
      </c>
      <c r="AB157" s="44">
        <v>30.4</v>
      </c>
    </row>
    <row r="158" spans="1:28" ht="15" customHeight="1" x14ac:dyDescent="0.25">
      <c r="A158" s="41" t="s">
        <v>222</v>
      </c>
      <c r="B158" s="42">
        <v>98</v>
      </c>
      <c r="C158" s="42">
        <v>318</v>
      </c>
      <c r="D158" s="42">
        <v>453</v>
      </c>
      <c r="E158" s="42">
        <v>131</v>
      </c>
      <c r="F158" s="42">
        <v>183</v>
      </c>
      <c r="G158" s="42">
        <v>80</v>
      </c>
      <c r="H158" s="42">
        <v>132</v>
      </c>
      <c r="I158" s="42">
        <v>106</v>
      </c>
      <c r="J158" s="42">
        <v>223</v>
      </c>
      <c r="K158" s="42">
        <v>1811</v>
      </c>
      <c r="L158" s="42">
        <v>6555</v>
      </c>
      <c r="M158" s="42">
        <v>9587</v>
      </c>
      <c r="N158" s="42">
        <v>3497</v>
      </c>
      <c r="O158" s="42">
        <v>5694</v>
      </c>
      <c r="P158" s="42">
        <v>2067</v>
      </c>
      <c r="Q158" s="42">
        <v>4551</v>
      </c>
      <c r="R158" s="42">
        <v>2893</v>
      </c>
      <c r="S158" s="42">
        <v>6333</v>
      </c>
      <c r="T158" s="43">
        <v>54.3</v>
      </c>
      <c r="U158" s="43">
        <v>48.6</v>
      </c>
      <c r="V158" s="43">
        <v>47.3</v>
      </c>
      <c r="W158" s="44">
        <v>37.5</v>
      </c>
      <c r="X158" s="44">
        <v>32.200000000000003</v>
      </c>
      <c r="Y158" s="44">
        <v>38.700000000000003</v>
      </c>
      <c r="Z158" s="44">
        <v>29.1</v>
      </c>
      <c r="AA158" s="44">
        <v>36.6</v>
      </c>
      <c r="AB158" s="44">
        <v>35.299999999999997</v>
      </c>
    </row>
    <row r="159" spans="1:28" ht="15" customHeight="1" x14ac:dyDescent="0.25">
      <c r="A159" s="41" t="s">
        <v>223</v>
      </c>
      <c r="B159" s="42" t="s">
        <v>28</v>
      </c>
      <c r="C159" s="42">
        <v>4</v>
      </c>
      <c r="D159" s="42" t="s">
        <v>127</v>
      </c>
      <c r="E159" s="42" t="s">
        <v>127</v>
      </c>
      <c r="F159" s="42">
        <v>1</v>
      </c>
      <c r="G159" s="42" t="s">
        <v>256</v>
      </c>
      <c r="H159" s="42" t="s">
        <v>127</v>
      </c>
      <c r="I159" s="42" t="s">
        <v>127</v>
      </c>
      <c r="J159" s="42">
        <v>1</v>
      </c>
      <c r="K159" s="42" t="s">
        <v>28</v>
      </c>
      <c r="L159" s="42">
        <v>336</v>
      </c>
      <c r="M159" s="42" t="s">
        <v>127</v>
      </c>
      <c r="N159" s="42" t="s">
        <v>127</v>
      </c>
      <c r="O159" s="42">
        <v>9</v>
      </c>
      <c r="P159" s="42">
        <v>25</v>
      </c>
      <c r="Q159" s="42" t="s">
        <v>127</v>
      </c>
      <c r="R159" s="42" t="s">
        <v>127</v>
      </c>
      <c r="S159" s="42">
        <v>6</v>
      </c>
      <c r="T159" s="43" t="s">
        <v>28</v>
      </c>
      <c r="U159" s="43" t="s">
        <v>28</v>
      </c>
      <c r="V159" s="43" t="s">
        <v>127</v>
      </c>
      <c r="W159" s="44" t="s">
        <v>127</v>
      </c>
      <c r="X159" s="44">
        <v>116</v>
      </c>
      <c r="Y159" s="44">
        <v>9.5</v>
      </c>
      <c r="Z159" s="44" t="s">
        <v>127</v>
      </c>
      <c r="AA159" s="44" t="s">
        <v>127</v>
      </c>
      <c r="AB159" s="44">
        <v>165.1</v>
      </c>
    </row>
    <row r="160" spans="1:28" ht="15" customHeight="1" x14ac:dyDescent="0.25">
      <c r="A160" s="35" t="s">
        <v>224</v>
      </c>
      <c r="B160" s="42" t="s">
        <v>28</v>
      </c>
      <c r="C160" s="42" t="s">
        <v>28</v>
      </c>
      <c r="D160" s="42" t="s">
        <v>28</v>
      </c>
      <c r="E160" s="42" t="s">
        <v>28</v>
      </c>
      <c r="F160" s="42">
        <v>4</v>
      </c>
      <c r="G160" s="42" t="s">
        <v>28</v>
      </c>
      <c r="H160" s="42" t="s">
        <v>28</v>
      </c>
      <c r="I160" s="42" t="s">
        <v>28</v>
      </c>
      <c r="J160" s="42" t="s">
        <v>28</v>
      </c>
      <c r="K160" s="42" t="s">
        <v>28</v>
      </c>
      <c r="L160" s="42">
        <v>870</v>
      </c>
      <c r="M160" s="42">
        <v>205</v>
      </c>
      <c r="N160" s="42" t="s">
        <v>28</v>
      </c>
      <c r="O160" s="42" t="s">
        <v>28</v>
      </c>
      <c r="P160" s="42" t="s">
        <v>28</v>
      </c>
      <c r="Q160" s="42">
        <v>124</v>
      </c>
      <c r="R160" s="42" t="s">
        <v>28</v>
      </c>
      <c r="S160" s="42">
        <v>208</v>
      </c>
      <c r="T160" s="43" t="s">
        <v>28</v>
      </c>
      <c r="U160" s="43" t="s">
        <v>28</v>
      </c>
      <c r="V160" s="43" t="s">
        <v>28</v>
      </c>
      <c r="W160" s="44" t="s">
        <v>28</v>
      </c>
      <c r="X160" s="44" t="s">
        <v>28</v>
      </c>
      <c r="Y160" s="44" t="s">
        <v>28</v>
      </c>
      <c r="Z160" s="44" t="s">
        <v>28</v>
      </c>
      <c r="AA160" s="44" t="s">
        <v>28</v>
      </c>
      <c r="AB160" s="44" t="s">
        <v>28</v>
      </c>
    </row>
    <row r="161" spans="1:28" ht="15" customHeight="1" x14ac:dyDescent="0.25">
      <c r="A161" s="41" t="s">
        <v>226</v>
      </c>
      <c r="B161" s="36" t="s">
        <v>28</v>
      </c>
      <c r="C161" s="36" t="s">
        <v>28</v>
      </c>
      <c r="D161" s="36" t="s">
        <v>127</v>
      </c>
      <c r="E161" s="36" t="s">
        <v>28</v>
      </c>
      <c r="F161" s="36" t="s">
        <v>127</v>
      </c>
      <c r="G161" s="36" t="s">
        <v>127</v>
      </c>
      <c r="H161" s="36" t="s">
        <v>28</v>
      </c>
      <c r="I161" s="36" t="s">
        <v>127</v>
      </c>
      <c r="J161" s="36" t="s">
        <v>28</v>
      </c>
      <c r="K161" s="36" t="s">
        <v>28</v>
      </c>
      <c r="L161" s="36" t="s">
        <v>28</v>
      </c>
      <c r="M161" s="36" t="s">
        <v>127</v>
      </c>
      <c r="N161" s="36" t="s">
        <v>28</v>
      </c>
      <c r="O161" s="36" t="s">
        <v>127</v>
      </c>
      <c r="P161" s="36" t="s">
        <v>127</v>
      </c>
      <c r="Q161" s="36" t="s">
        <v>28</v>
      </c>
      <c r="R161" s="36" t="s">
        <v>127</v>
      </c>
      <c r="S161" s="36" t="s">
        <v>28</v>
      </c>
      <c r="T161" s="37" t="s">
        <v>28</v>
      </c>
      <c r="U161" s="37" t="s">
        <v>28</v>
      </c>
      <c r="V161" s="37" t="s">
        <v>127</v>
      </c>
      <c r="W161" s="38" t="s">
        <v>28</v>
      </c>
      <c r="X161" s="38" t="s">
        <v>127</v>
      </c>
      <c r="Y161" s="38" t="s">
        <v>127</v>
      </c>
      <c r="Z161" s="38" t="s">
        <v>28</v>
      </c>
      <c r="AA161" s="38" t="s">
        <v>127</v>
      </c>
      <c r="AB161" s="38" t="s">
        <v>28</v>
      </c>
    </row>
    <row r="162" spans="1:28" ht="15" customHeight="1" x14ac:dyDescent="0.25">
      <c r="A162" s="41" t="s">
        <v>173</v>
      </c>
      <c r="B162" s="36" t="s">
        <v>28</v>
      </c>
      <c r="C162" s="36" t="s">
        <v>28</v>
      </c>
      <c r="D162" s="36" t="s">
        <v>28</v>
      </c>
      <c r="E162" s="36" t="s">
        <v>28</v>
      </c>
      <c r="F162" s="36" t="s">
        <v>28</v>
      </c>
      <c r="G162" s="36" t="s">
        <v>28</v>
      </c>
      <c r="H162" s="36" t="s">
        <v>127</v>
      </c>
      <c r="I162" s="36">
        <v>1</v>
      </c>
      <c r="J162" s="36" t="s">
        <v>256</v>
      </c>
      <c r="K162" s="36" t="s">
        <v>28</v>
      </c>
      <c r="L162" s="36" t="s">
        <v>28</v>
      </c>
      <c r="M162" s="36" t="s">
        <v>28</v>
      </c>
      <c r="N162" s="36" t="s">
        <v>28</v>
      </c>
      <c r="O162" s="36" t="s">
        <v>28</v>
      </c>
      <c r="P162" s="36" t="s">
        <v>28</v>
      </c>
      <c r="Q162" s="36" t="s">
        <v>127</v>
      </c>
      <c r="R162" s="36">
        <v>35</v>
      </c>
      <c r="S162" s="36">
        <v>40</v>
      </c>
      <c r="T162" s="37" t="s">
        <v>28</v>
      </c>
      <c r="U162" s="37" t="s">
        <v>28</v>
      </c>
      <c r="V162" s="37" t="s">
        <v>28</v>
      </c>
      <c r="W162" s="38" t="s">
        <v>28</v>
      </c>
      <c r="X162" s="38" t="s">
        <v>28</v>
      </c>
      <c r="Y162" s="38" t="s">
        <v>28</v>
      </c>
      <c r="Z162" s="38" t="s">
        <v>127</v>
      </c>
      <c r="AA162" s="38">
        <v>16.5</v>
      </c>
      <c r="AB162" s="38">
        <v>9.9</v>
      </c>
    </row>
    <row r="163" spans="1:28" ht="24" customHeight="1" x14ac:dyDescent="0.25">
      <c r="A163" s="40" t="s">
        <v>233</v>
      </c>
      <c r="B163" s="45" t="s">
        <v>16</v>
      </c>
      <c r="C163" s="45" t="s">
        <v>16</v>
      </c>
      <c r="D163" s="45" t="s">
        <v>16</v>
      </c>
      <c r="E163" s="45" t="s">
        <v>16</v>
      </c>
      <c r="F163" s="45" t="s">
        <v>16</v>
      </c>
      <c r="G163" s="45" t="s">
        <v>16</v>
      </c>
      <c r="H163" s="45" t="s">
        <v>16</v>
      </c>
      <c r="I163" s="45" t="s">
        <v>16</v>
      </c>
      <c r="J163" s="45" t="s">
        <v>16</v>
      </c>
      <c r="K163" s="45" t="s">
        <v>16</v>
      </c>
      <c r="L163" s="45" t="s">
        <v>16</v>
      </c>
      <c r="M163" s="45" t="s">
        <v>16</v>
      </c>
      <c r="N163" s="45" t="s">
        <v>16</v>
      </c>
      <c r="O163" s="45" t="s">
        <v>16</v>
      </c>
      <c r="P163" s="45" t="s">
        <v>16</v>
      </c>
      <c r="Q163" s="45" t="s">
        <v>16</v>
      </c>
      <c r="R163" s="45" t="s">
        <v>16</v>
      </c>
      <c r="S163" s="45" t="s">
        <v>16</v>
      </c>
      <c r="T163" s="46"/>
      <c r="U163" s="46"/>
      <c r="V163" s="46"/>
      <c r="W163" s="47"/>
      <c r="X163" s="47"/>
      <c r="Y163" s="47"/>
      <c r="Z163" s="47"/>
      <c r="AA163" s="47"/>
      <c r="AB163" s="47"/>
    </row>
    <row r="164" spans="1:28" ht="15" customHeight="1" x14ac:dyDescent="0.25">
      <c r="A164" s="35" t="s">
        <v>222</v>
      </c>
      <c r="B164" s="42" t="s">
        <v>28</v>
      </c>
      <c r="C164" s="42">
        <v>20</v>
      </c>
      <c r="D164" s="42" t="s">
        <v>28</v>
      </c>
      <c r="E164" s="42" t="s">
        <v>28</v>
      </c>
      <c r="F164" s="42" t="s">
        <v>28</v>
      </c>
      <c r="G164" s="42" t="s">
        <v>28</v>
      </c>
      <c r="H164" s="42" t="s">
        <v>28</v>
      </c>
      <c r="I164" s="42" t="s">
        <v>28</v>
      </c>
      <c r="J164" s="42" t="s">
        <v>28</v>
      </c>
      <c r="K164" s="42" t="s">
        <v>28</v>
      </c>
      <c r="L164" s="42">
        <v>216</v>
      </c>
      <c r="M164" s="42" t="s">
        <v>28</v>
      </c>
      <c r="N164" s="42" t="s">
        <v>28</v>
      </c>
      <c r="O164" s="42" t="s">
        <v>28</v>
      </c>
      <c r="P164" s="42" t="s">
        <v>28</v>
      </c>
      <c r="Q164" s="42" t="s">
        <v>28</v>
      </c>
      <c r="R164" s="42" t="s">
        <v>28</v>
      </c>
      <c r="S164" s="42" t="s">
        <v>28</v>
      </c>
      <c r="T164" s="43" t="s">
        <v>28</v>
      </c>
      <c r="U164" s="43">
        <v>93.6</v>
      </c>
      <c r="V164" s="43" t="s">
        <v>28</v>
      </c>
      <c r="W164" s="44" t="s">
        <v>28</v>
      </c>
      <c r="X164" s="44" t="s">
        <v>28</v>
      </c>
      <c r="Y164" s="44" t="s">
        <v>28</v>
      </c>
      <c r="Z164" s="44" t="s">
        <v>28</v>
      </c>
      <c r="AA164" s="44" t="s">
        <v>28</v>
      </c>
      <c r="AB164" s="44" t="s">
        <v>28</v>
      </c>
    </row>
    <row r="165" spans="1:28" ht="15" customHeight="1" x14ac:dyDescent="0.25">
      <c r="A165" s="35" t="s">
        <v>361</v>
      </c>
      <c r="B165" s="42">
        <v>98</v>
      </c>
      <c r="C165" s="42">
        <v>344</v>
      </c>
      <c r="D165" s="42">
        <v>448</v>
      </c>
      <c r="E165" s="42">
        <v>141</v>
      </c>
      <c r="F165" s="42">
        <v>292</v>
      </c>
      <c r="G165" s="42">
        <v>99</v>
      </c>
      <c r="H165" s="42">
        <v>199</v>
      </c>
      <c r="I165" s="42">
        <v>152</v>
      </c>
      <c r="J165" s="42">
        <v>295</v>
      </c>
      <c r="K165" s="42">
        <v>2071</v>
      </c>
      <c r="L165" s="42">
        <v>8223</v>
      </c>
      <c r="M165" s="42">
        <v>10148</v>
      </c>
      <c r="N165" s="42">
        <v>4085</v>
      </c>
      <c r="O165" s="42">
        <v>9807</v>
      </c>
      <c r="P165" s="42">
        <v>3364</v>
      </c>
      <c r="Q165" s="42">
        <v>6400</v>
      </c>
      <c r="R165" s="42">
        <v>3558</v>
      </c>
      <c r="S165" s="42">
        <v>8511</v>
      </c>
      <c r="T165" s="43">
        <v>47.2</v>
      </c>
      <c r="U165" s="43">
        <v>41.9</v>
      </c>
      <c r="V165" s="43">
        <v>44.2</v>
      </c>
      <c r="W165" s="44">
        <v>34.5</v>
      </c>
      <c r="X165" s="44">
        <v>29.7</v>
      </c>
      <c r="Y165" s="44">
        <v>29.5</v>
      </c>
      <c r="Z165" s="44">
        <v>31.1</v>
      </c>
      <c r="AA165" s="44">
        <v>42.7</v>
      </c>
      <c r="AB165" s="44">
        <v>34.700000000000003</v>
      </c>
    </row>
    <row r="166" spans="1:28" ht="15" customHeight="1" x14ac:dyDescent="0.25">
      <c r="A166" s="41" t="s">
        <v>234</v>
      </c>
      <c r="B166" s="42" t="s">
        <v>28</v>
      </c>
      <c r="C166" s="42">
        <v>15</v>
      </c>
      <c r="D166" s="42">
        <v>15</v>
      </c>
      <c r="E166" s="42">
        <v>4</v>
      </c>
      <c r="F166" s="42" t="s">
        <v>28</v>
      </c>
      <c r="G166" s="42" t="s">
        <v>28</v>
      </c>
      <c r="H166" s="42" t="s">
        <v>28</v>
      </c>
      <c r="I166" s="42" t="s">
        <v>28</v>
      </c>
      <c r="J166" s="42">
        <v>21</v>
      </c>
      <c r="K166" s="42" t="s">
        <v>28</v>
      </c>
      <c r="L166" s="42">
        <v>387</v>
      </c>
      <c r="M166" s="42">
        <v>425</v>
      </c>
      <c r="N166" s="42">
        <v>146</v>
      </c>
      <c r="O166" s="42" t="s">
        <v>28</v>
      </c>
      <c r="P166" s="42" t="s">
        <v>28</v>
      </c>
      <c r="Q166" s="42" t="s">
        <v>28</v>
      </c>
      <c r="R166" s="42" t="s">
        <v>28</v>
      </c>
      <c r="S166" s="42">
        <v>417</v>
      </c>
      <c r="T166" s="43" t="s">
        <v>28</v>
      </c>
      <c r="U166" s="43">
        <v>38.200000000000003</v>
      </c>
      <c r="V166" s="43">
        <v>35.5</v>
      </c>
      <c r="W166" s="44">
        <v>25.3</v>
      </c>
      <c r="X166" s="44" t="s">
        <v>28</v>
      </c>
      <c r="Y166" s="44" t="s">
        <v>28</v>
      </c>
      <c r="Z166" s="44" t="s">
        <v>28</v>
      </c>
      <c r="AA166" s="44" t="s">
        <v>28</v>
      </c>
      <c r="AB166" s="44">
        <v>50.9</v>
      </c>
    </row>
    <row r="167" spans="1:28" ht="24" customHeight="1" x14ac:dyDescent="0.25">
      <c r="A167" s="40" t="s">
        <v>235</v>
      </c>
      <c r="B167" s="45" t="s">
        <v>16</v>
      </c>
      <c r="C167" s="45" t="s">
        <v>16</v>
      </c>
      <c r="D167" s="45" t="s">
        <v>16</v>
      </c>
      <c r="E167" s="45" t="s">
        <v>16</v>
      </c>
      <c r="F167" s="45" t="s">
        <v>16</v>
      </c>
      <c r="G167" s="45" t="s">
        <v>16</v>
      </c>
      <c r="H167" s="45" t="s">
        <v>16</v>
      </c>
      <c r="I167" s="45" t="s">
        <v>16</v>
      </c>
      <c r="J167" s="45" t="s">
        <v>16</v>
      </c>
      <c r="K167" s="45" t="s">
        <v>16</v>
      </c>
      <c r="L167" s="45" t="s">
        <v>16</v>
      </c>
      <c r="M167" s="45" t="s">
        <v>16</v>
      </c>
      <c r="N167" s="45" t="s">
        <v>16</v>
      </c>
      <c r="O167" s="45" t="s">
        <v>16</v>
      </c>
      <c r="P167" s="45" t="s">
        <v>16</v>
      </c>
      <c r="Q167" s="45" t="s">
        <v>16</v>
      </c>
      <c r="R167" s="45" t="s">
        <v>16</v>
      </c>
      <c r="S167" s="45" t="s">
        <v>16</v>
      </c>
      <c r="T167" s="46"/>
      <c r="U167" s="46"/>
      <c r="V167" s="46"/>
      <c r="W167" s="47"/>
      <c r="X167" s="47"/>
      <c r="Y167" s="47"/>
      <c r="Z167" s="47"/>
      <c r="AA167" s="47"/>
      <c r="AB167" s="47"/>
    </row>
    <row r="168" spans="1:28" ht="15" customHeight="1" x14ac:dyDescent="0.25">
      <c r="A168" s="35" t="s">
        <v>222</v>
      </c>
      <c r="B168" s="42">
        <v>90</v>
      </c>
      <c r="C168" s="42">
        <v>320</v>
      </c>
      <c r="D168" s="42">
        <v>400</v>
      </c>
      <c r="E168" s="42">
        <v>112</v>
      </c>
      <c r="F168" s="42">
        <v>219</v>
      </c>
      <c r="G168" s="42">
        <v>79</v>
      </c>
      <c r="H168" s="42">
        <v>158</v>
      </c>
      <c r="I168" s="42">
        <v>106</v>
      </c>
      <c r="J168" s="42">
        <v>244</v>
      </c>
      <c r="K168" s="42">
        <v>1492</v>
      </c>
      <c r="L168" s="42">
        <v>6042</v>
      </c>
      <c r="M168" s="42">
        <v>7910</v>
      </c>
      <c r="N168" s="42">
        <v>2705</v>
      </c>
      <c r="O168" s="42">
        <v>5651</v>
      </c>
      <c r="P168" s="42">
        <v>2103</v>
      </c>
      <c r="Q168" s="42">
        <v>4504</v>
      </c>
      <c r="R168" s="42">
        <v>2665</v>
      </c>
      <c r="S168" s="42">
        <v>6452</v>
      </c>
      <c r="T168" s="43">
        <v>60</v>
      </c>
      <c r="U168" s="43">
        <v>53</v>
      </c>
      <c r="V168" s="43">
        <v>50.6</v>
      </c>
      <c r="W168" s="44">
        <v>41.2</v>
      </c>
      <c r="X168" s="44">
        <v>38.799999999999997</v>
      </c>
      <c r="Y168" s="44">
        <v>37.700000000000003</v>
      </c>
      <c r="Z168" s="44">
        <v>35.1</v>
      </c>
      <c r="AA168" s="44">
        <v>39.9</v>
      </c>
      <c r="AB168" s="44">
        <v>37.799999999999997</v>
      </c>
    </row>
    <row r="169" spans="1:28" ht="15" customHeight="1" x14ac:dyDescent="0.25">
      <c r="A169" s="35" t="s">
        <v>361</v>
      </c>
      <c r="B169" s="42">
        <v>17</v>
      </c>
      <c r="C169" s="42">
        <v>57</v>
      </c>
      <c r="D169" s="42">
        <v>78</v>
      </c>
      <c r="E169" s="42">
        <v>31</v>
      </c>
      <c r="F169" s="42">
        <v>69</v>
      </c>
      <c r="G169" s="42">
        <v>21</v>
      </c>
      <c r="H169" s="42">
        <v>40</v>
      </c>
      <c r="I169" s="42" t="s">
        <v>28</v>
      </c>
      <c r="J169" s="42">
        <v>70</v>
      </c>
      <c r="K169" s="42">
        <v>684</v>
      </c>
      <c r="L169" s="42">
        <v>2676</v>
      </c>
      <c r="M169" s="42">
        <v>2716</v>
      </c>
      <c r="N169" s="42">
        <v>1386</v>
      </c>
      <c r="O169" s="42">
        <v>3860</v>
      </c>
      <c r="P169" s="42">
        <v>1228</v>
      </c>
      <c r="Q169" s="42">
        <v>1783</v>
      </c>
      <c r="R169" s="42">
        <v>963</v>
      </c>
      <c r="S169" s="42">
        <v>2200</v>
      </c>
      <c r="T169" s="43">
        <v>25.5</v>
      </c>
      <c r="U169" s="43">
        <v>21.2</v>
      </c>
      <c r="V169" s="43">
        <v>28.6</v>
      </c>
      <c r="W169" s="44">
        <v>22.2</v>
      </c>
      <c r="X169" s="44">
        <v>17.8</v>
      </c>
      <c r="Y169" s="44">
        <v>16.8</v>
      </c>
      <c r="Z169" s="44">
        <v>22.4</v>
      </c>
      <c r="AA169" s="44" t="s">
        <v>28</v>
      </c>
      <c r="AB169" s="44">
        <v>31.8</v>
      </c>
    </row>
    <row r="170" spans="1:28" ht="15" customHeight="1" x14ac:dyDescent="0.25">
      <c r="A170" s="41" t="s">
        <v>236</v>
      </c>
      <c r="B170" s="42" t="s">
        <v>28</v>
      </c>
      <c r="C170" s="42" t="s">
        <v>28</v>
      </c>
      <c r="D170" s="42">
        <v>4</v>
      </c>
      <c r="E170" s="42" t="s">
        <v>28</v>
      </c>
      <c r="F170" s="42" t="s">
        <v>28</v>
      </c>
      <c r="G170" s="42" t="s">
        <v>28</v>
      </c>
      <c r="H170" s="42">
        <v>4</v>
      </c>
      <c r="I170" s="42" t="s">
        <v>28</v>
      </c>
      <c r="J170" s="42">
        <v>6</v>
      </c>
      <c r="K170" s="42" t="s">
        <v>28</v>
      </c>
      <c r="L170" s="42" t="s">
        <v>28</v>
      </c>
      <c r="M170" s="42">
        <v>163</v>
      </c>
      <c r="N170" s="42" t="s">
        <v>28</v>
      </c>
      <c r="O170" s="42" t="s">
        <v>28</v>
      </c>
      <c r="P170" s="42" t="s">
        <v>28</v>
      </c>
      <c r="Q170" s="42">
        <v>193</v>
      </c>
      <c r="R170" s="42" t="s">
        <v>28</v>
      </c>
      <c r="S170" s="42">
        <v>314</v>
      </c>
      <c r="T170" s="43" t="s">
        <v>28</v>
      </c>
      <c r="U170" s="43" t="s">
        <v>28</v>
      </c>
      <c r="V170" s="43">
        <v>22.5</v>
      </c>
      <c r="W170" s="44" t="s">
        <v>28</v>
      </c>
      <c r="X170" s="44" t="s">
        <v>28</v>
      </c>
      <c r="Y170" s="44" t="s">
        <v>28</v>
      </c>
      <c r="Z170" s="44">
        <v>19.7</v>
      </c>
      <c r="AA170" s="44" t="s">
        <v>28</v>
      </c>
      <c r="AB170" s="44">
        <v>19.7</v>
      </c>
    </row>
    <row r="171" spans="1:28" ht="24" customHeight="1" x14ac:dyDescent="0.25">
      <c r="A171" s="40" t="s">
        <v>237</v>
      </c>
      <c r="B171" s="45" t="s">
        <v>16</v>
      </c>
      <c r="C171" s="45" t="s">
        <v>16</v>
      </c>
      <c r="D171" s="45" t="s">
        <v>16</v>
      </c>
      <c r="E171" s="45" t="s">
        <v>16</v>
      </c>
      <c r="F171" s="45" t="s">
        <v>16</v>
      </c>
      <c r="G171" s="45" t="s">
        <v>16</v>
      </c>
      <c r="H171" s="45" t="s">
        <v>16</v>
      </c>
      <c r="I171" s="45" t="s">
        <v>16</v>
      </c>
      <c r="J171" s="45" t="s">
        <v>16</v>
      </c>
      <c r="K171" s="45" t="s">
        <v>16</v>
      </c>
      <c r="L171" s="45" t="s">
        <v>16</v>
      </c>
      <c r="M171" s="45" t="s">
        <v>16</v>
      </c>
      <c r="N171" s="45" t="s">
        <v>16</v>
      </c>
      <c r="O171" s="45" t="s">
        <v>16</v>
      </c>
      <c r="P171" s="45"/>
      <c r="Q171" s="45" t="s">
        <v>16</v>
      </c>
      <c r="R171" s="45" t="s">
        <v>16</v>
      </c>
      <c r="S171" s="45" t="s">
        <v>16</v>
      </c>
      <c r="T171" s="46"/>
      <c r="U171" s="46"/>
      <c r="V171" s="46"/>
      <c r="W171" s="47"/>
      <c r="X171" s="47"/>
      <c r="Y171" s="47"/>
      <c r="Z171" s="47"/>
      <c r="AA171" s="47"/>
      <c r="AB171" s="47"/>
    </row>
    <row r="172" spans="1:28" ht="15" customHeight="1" x14ac:dyDescent="0.25">
      <c r="A172" s="35" t="s">
        <v>222</v>
      </c>
      <c r="B172" s="42">
        <v>52</v>
      </c>
      <c r="C172" s="42">
        <v>229</v>
      </c>
      <c r="D172" s="42">
        <v>231</v>
      </c>
      <c r="E172" s="42">
        <v>64</v>
      </c>
      <c r="F172" s="42">
        <v>185</v>
      </c>
      <c r="G172" s="42">
        <v>58</v>
      </c>
      <c r="H172" s="42">
        <v>114</v>
      </c>
      <c r="I172" s="42">
        <v>91</v>
      </c>
      <c r="J172" s="42">
        <v>183</v>
      </c>
      <c r="K172" s="42">
        <v>1015</v>
      </c>
      <c r="L172" s="42">
        <v>4341</v>
      </c>
      <c r="M172" s="42">
        <v>4293</v>
      </c>
      <c r="N172" s="42">
        <v>1349</v>
      </c>
      <c r="O172" s="42">
        <v>4427</v>
      </c>
      <c r="P172" s="42">
        <v>1487</v>
      </c>
      <c r="Q172" s="42">
        <v>2658</v>
      </c>
      <c r="R172" s="42">
        <v>1694</v>
      </c>
      <c r="S172" s="42">
        <v>3506</v>
      </c>
      <c r="T172" s="43">
        <v>51.4</v>
      </c>
      <c r="U172" s="43">
        <v>52.8</v>
      </c>
      <c r="V172" s="43">
        <v>53.7</v>
      </c>
      <c r="W172" s="44">
        <v>47.4</v>
      </c>
      <c r="X172" s="44">
        <v>41.9</v>
      </c>
      <c r="Y172" s="44">
        <v>39</v>
      </c>
      <c r="Z172" s="44">
        <v>43</v>
      </c>
      <c r="AA172" s="44">
        <v>53.6</v>
      </c>
      <c r="AB172" s="44">
        <v>52.1</v>
      </c>
    </row>
    <row r="173" spans="1:28" ht="15" customHeight="1" x14ac:dyDescent="0.25">
      <c r="A173" s="35" t="s">
        <v>361</v>
      </c>
      <c r="B173" s="42" t="s">
        <v>28</v>
      </c>
      <c r="C173" s="42">
        <v>27</v>
      </c>
      <c r="D173" s="42">
        <v>53</v>
      </c>
      <c r="E173" s="42">
        <v>25</v>
      </c>
      <c r="F173" s="42">
        <v>22</v>
      </c>
      <c r="G173" s="42">
        <v>11</v>
      </c>
      <c r="H173" s="42">
        <v>17</v>
      </c>
      <c r="I173" s="42">
        <v>12</v>
      </c>
      <c r="J173" s="42">
        <v>27</v>
      </c>
      <c r="K173" s="42" t="s">
        <v>28</v>
      </c>
      <c r="L173" s="42">
        <v>935</v>
      </c>
      <c r="M173" s="42">
        <v>1316</v>
      </c>
      <c r="N173" s="42">
        <v>602</v>
      </c>
      <c r="O173" s="42">
        <v>1145</v>
      </c>
      <c r="P173" s="42">
        <v>344</v>
      </c>
      <c r="Q173" s="42">
        <v>586</v>
      </c>
      <c r="R173" s="42">
        <v>408</v>
      </c>
      <c r="S173" s="42">
        <v>743</v>
      </c>
      <c r="T173" s="43" t="s">
        <v>28</v>
      </c>
      <c r="U173" s="43">
        <v>28.9</v>
      </c>
      <c r="V173" s="43">
        <v>40.299999999999997</v>
      </c>
      <c r="W173" s="44">
        <v>41</v>
      </c>
      <c r="X173" s="44">
        <v>19.399999999999999</v>
      </c>
      <c r="Y173" s="44">
        <v>33.200000000000003</v>
      </c>
      <c r="Z173" s="44">
        <v>28.7</v>
      </c>
      <c r="AA173" s="44">
        <v>30.2</v>
      </c>
      <c r="AB173" s="44">
        <v>36.799999999999997</v>
      </c>
    </row>
    <row r="174" spans="1:28" ht="15" customHeight="1" x14ac:dyDescent="0.25">
      <c r="A174" s="41" t="s">
        <v>238</v>
      </c>
      <c r="B174" s="42">
        <v>50</v>
      </c>
      <c r="C174" s="42">
        <v>123</v>
      </c>
      <c r="D174" s="42">
        <v>198</v>
      </c>
      <c r="E174" s="42">
        <v>56</v>
      </c>
      <c r="F174" s="42">
        <v>90</v>
      </c>
      <c r="G174" s="42">
        <v>32</v>
      </c>
      <c r="H174" s="42">
        <v>71</v>
      </c>
      <c r="I174" s="42">
        <v>56</v>
      </c>
      <c r="J174" s="42">
        <v>109</v>
      </c>
      <c r="K174" s="42">
        <v>1049</v>
      </c>
      <c r="L174" s="42">
        <v>3550</v>
      </c>
      <c r="M174" s="42">
        <v>5181</v>
      </c>
      <c r="N174" s="42">
        <v>2284</v>
      </c>
      <c r="O174" s="42">
        <v>4412</v>
      </c>
      <c r="P174" s="42">
        <v>1605</v>
      </c>
      <c r="Q174" s="42">
        <v>3237</v>
      </c>
      <c r="R174" s="42">
        <v>1664</v>
      </c>
      <c r="S174" s="42">
        <v>4716</v>
      </c>
      <c r="T174" s="43">
        <v>48.1</v>
      </c>
      <c r="U174" s="43">
        <v>34.6</v>
      </c>
      <c r="V174" s="43">
        <v>38.200000000000003</v>
      </c>
      <c r="W174" s="44">
        <v>24.7</v>
      </c>
      <c r="X174" s="44">
        <v>20.399999999999999</v>
      </c>
      <c r="Y174" s="44">
        <v>19.7</v>
      </c>
      <c r="Z174" s="44">
        <v>21.8</v>
      </c>
      <c r="AA174" s="44">
        <v>33.799999999999997</v>
      </c>
      <c r="AB174" s="44">
        <v>23.2</v>
      </c>
    </row>
    <row r="175" spans="1:28" ht="33.950000000000003" customHeight="1" x14ac:dyDescent="0.25">
      <c r="A175" s="40" t="s">
        <v>239</v>
      </c>
      <c r="B175" s="45" t="s">
        <v>16</v>
      </c>
      <c r="C175" s="45" t="s">
        <v>16</v>
      </c>
      <c r="D175" s="45" t="s">
        <v>16</v>
      </c>
      <c r="E175" s="45" t="s">
        <v>16</v>
      </c>
      <c r="F175" s="45" t="s">
        <v>16</v>
      </c>
      <c r="G175" s="45" t="s">
        <v>16</v>
      </c>
      <c r="H175" s="45" t="s">
        <v>16</v>
      </c>
      <c r="I175" s="45" t="s">
        <v>16</v>
      </c>
      <c r="J175" s="45" t="s">
        <v>16</v>
      </c>
      <c r="K175" s="45" t="s">
        <v>16</v>
      </c>
      <c r="L175" s="45" t="s">
        <v>16</v>
      </c>
      <c r="M175" s="45" t="s">
        <v>16</v>
      </c>
      <c r="N175" s="45" t="s">
        <v>16</v>
      </c>
      <c r="O175" s="45" t="s">
        <v>16</v>
      </c>
      <c r="P175" s="45"/>
      <c r="Q175" s="45" t="s">
        <v>16</v>
      </c>
      <c r="R175" s="45" t="s">
        <v>16</v>
      </c>
      <c r="S175" s="45" t="s">
        <v>16</v>
      </c>
      <c r="T175" s="46"/>
      <c r="U175" s="46"/>
      <c r="V175" s="46"/>
      <c r="W175" s="47"/>
      <c r="X175" s="47"/>
      <c r="Y175" s="47"/>
      <c r="Z175" s="47"/>
      <c r="AA175" s="47"/>
      <c r="AB175" s="47"/>
    </row>
    <row r="176" spans="1:28" ht="15" customHeight="1" x14ac:dyDescent="0.25">
      <c r="A176" s="35" t="s">
        <v>240</v>
      </c>
      <c r="B176" s="42">
        <v>108</v>
      </c>
      <c r="C176" s="42">
        <v>378</v>
      </c>
      <c r="D176" s="42">
        <v>481</v>
      </c>
      <c r="E176" s="42">
        <v>145</v>
      </c>
      <c r="F176" s="42">
        <v>288</v>
      </c>
      <c r="G176" s="42">
        <v>101</v>
      </c>
      <c r="H176" s="42">
        <v>200</v>
      </c>
      <c r="I176" s="42">
        <v>159</v>
      </c>
      <c r="J176" s="42">
        <v>308</v>
      </c>
      <c r="K176" s="42">
        <v>2241</v>
      </c>
      <c r="L176" s="42">
        <v>8819</v>
      </c>
      <c r="M176" s="42">
        <v>10767</v>
      </c>
      <c r="N176" s="42">
        <v>4236</v>
      </c>
      <c r="O176" s="42">
        <v>9714</v>
      </c>
      <c r="P176" s="42">
        <v>3434</v>
      </c>
      <c r="Q176" s="42">
        <v>6396</v>
      </c>
      <c r="R176" s="42">
        <v>3763</v>
      </c>
      <c r="S176" s="42">
        <v>8759</v>
      </c>
      <c r="T176" s="43">
        <v>48.1</v>
      </c>
      <c r="U176" s="43">
        <v>42.8</v>
      </c>
      <c r="V176" s="43">
        <v>44.7</v>
      </c>
      <c r="W176" s="44">
        <v>34.299999999999997</v>
      </c>
      <c r="X176" s="44">
        <v>29.6</v>
      </c>
      <c r="Y176" s="44">
        <v>29.4</v>
      </c>
      <c r="Z176" s="44">
        <v>31.3</v>
      </c>
      <c r="AA176" s="44">
        <v>42.4</v>
      </c>
      <c r="AB176" s="44">
        <v>35.200000000000003</v>
      </c>
    </row>
    <row r="177" spans="1:28" ht="15" customHeight="1" x14ac:dyDescent="0.25">
      <c r="A177" s="41" t="s">
        <v>241</v>
      </c>
      <c r="B177" s="42">
        <v>105</v>
      </c>
      <c r="C177" s="42">
        <v>365</v>
      </c>
      <c r="D177" s="42">
        <v>466</v>
      </c>
      <c r="E177" s="42">
        <v>141</v>
      </c>
      <c r="F177" s="42">
        <v>295</v>
      </c>
      <c r="G177" s="42">
        <v>101</v>
      </c>
      <c r="H177" s="42">
        <v>200</v>
      </c>
      <c r="I177" s="42">
        <v>154</v>
      </c>
      <c r="J177" s="42">
        <v>298</v>
      </c>
      <c r="K177" s="42">
        <v>2160</v>
      </c>
      <c r="L177" s="42">
        <v>8439</v>
      </c>
      <c r="M177" s="42">
        <v>10364</v>
      </c>
      <c r="N177" s="42">
        <v>4089</v>
      </c>
      <c r="O177" s="42">
        <v>9861</v>
      </c>
      <c r="P177" s="42">
        <v>3418</v>
      </c>
      <c r="Q177" s="42">
        <v>6409</v>
      </c>
      <c r="R177" s="42">
        <v>3609</v>
      </c>
      <c r="S177" s="42">
        <v>8548</v>
      </c>
      <c r="T177" s="43">
        <v>48.6</v>
      </c>
      <c r="U177" s="43">
        <v>43.2</v>
      </c>
      <c r="V177" s="43">
        <v>45</v>
      </c>
      <c r="W177" s="44">
        <v>34.6</v>
      </c>
      <c r="X177" s="44">
        <v>29.9</v>
      </c>
      <c r="Y177" s="44">
        <v>29.5</v>
      </c>
      <c r="Z177" s="44">
        <v>31.2</v>
      </c>
      <c r="AA177" s="44">
        <v>42.7</v>
      </c>
      <c r="AB177" s="44">
        <v>34.9</v>
      </c>
    </row>
    <row r="178" spans="1:28" ht="15" customHeight="1" x14ac:dyDescent="0.25">
      <c r="A178" s="41" t="s">
        <v>242</v>
      </c>
      <c r="B178" s="42">
        <v>107</v>
      </c>
      <c r="C178" s="42">
        <v>377</v>
      </c>
      <c r="D178" s="42">
        <v>478</v>
      </c>
      <c r="E178" s="42">
        <v>142</v>
      </c>
      <c r="F178" s="42">
        <v>288</v>
      </c>
      <c r="G178" s="42">
        <v>100</v>
      </c>
      <c r="H178" s="42">
        <v>198</v>
      </c>
      <c r="I178" s="42">
        <v>152</v>
      </c>
      <c r="J178" s="42">
        <v>313</v>
      </c>
      <c r="K178" s="42">
        <v>2176</v>
      </c>
      <c r="L178" s="42">
        <v>8718</v>
      </c>
      <c r="M178" s="42">
        <v>10626</v>
      </c>
      <c r="N178" s="42">
        <v>4090</v>
      </c>
      <c r="O178" s="42">
        <v>9511</v>
      </c>
      <c r="P178" s="42">
        <v>3331</v>
      </c>
      <c r="Q178" s="42">
        <v>6288</v>
      </c>
      <c r="R178" s="42">
        <v>3628</v>
      </c>
      <c r="S178" s="42">
        <v>8651</v>
      </c>
      <c r="T178" s="43">
        <v>49.2</v>
      </c>
      <c r="U178" s="43">
        <v>43.2</v>
      </c>
      <c r="V178" s="43">
        <v>45</v>
      </c>
      <c r="W178" s="44">
        <v>34.799999999999997</v>
      </c>
      <c r="X178" s="44">
        <v>30.3</v>
      </c>
      <c r="Y178" s="44">
        <v>30</v>
      </c>
      <c r="Z178" s="44">
        <v>31.5</v>
      </c>
      <c r="AA178" s="44">
        <v>42</v>
      </c>
      <c r="AB178" s="44">
        <v>36.200000000000003</v>
      </c>
    </row>
    <row r="179" spans="1:28" ht="15" customHeight="1" x14ac:dyDescent="0.25">
      <c r="A179" s="35" t="s">
        <v>243</v>
      </c>
      <c r="B179" s="42">
        <v>57</v>
      </c>
      <c r="C179" s="42">
        <v>256</v>
      </c>
      <c r="D179" s="42">
        <v>284</v>
      </c>
      <c r="E179" s="42">
        <v>89</v>
      </c>
      <c r="F179" s="42">
        <v>208</v>
      </c>
      <c r="G179" s="42">
        <v>69</v>
      </c>
      <c r="H179" s="42">
        <v>131</v>
      </c>
      <c r="I179" s="42">
        <v>103</v>
      </c>
      <c r="J179" s="42">
        <v>210</v>
      </c>
      <c r="K179" s="42">
        <v>1192</v>
      </c>
      <c r="L179" s="42">
        <v>5276</v>
      </c>
      <c r="M179" s="42">
        <v>5609</v>
      </c>
      <c r="N179" s="42">
        <v>1951</v>
      </c>
      <c r="O179" s="42">
        <v>5573</v>
      </c>
      <c r="P179" s="42">
        <v>1831</v>
      </c>
      <c r="Q179" s="42">
        <v>3244</v>
      </c>
      <c r="R179" s="42">
        <v>2102</v>
      </c>
      <c r="S179" s="42">
        <v>4249</v>
      </c>
      <c r="T179" s="43">
        <v>48.2</v>
      </c>
      <c r="U179" s="43">
        <v>48.6</v>
      </c>
      <c r="V179" s="43">
        <v>50.6</v>
      </c>
      <c r="W179" s="44">
        <v>45.4</v>
      </c>
      <c r="X179" s="44">
        <v>37.200000000000003</v>
      </c>
      <c r="Y179" s="44">
        <v>37.9</v>
      </c>
      <c r="Z179" s="44">
        <v>40.4</v>
      </c>
      <c r="AA179" s="44">
        <v>49.1</v>
      </c>
      <c r="AB179" s="44">
        <v>49.5</v>
      </c>
    </row>
    <row r="180" spans="1:28" ht="15" customHeight="1" x14ac:dyDescent="0.25">
      <c r="A180" s="41" t="s">
        <v>244</v>
      </c>
      <c r="B180" s="36" t="s">
        <v>28</v>
      </c>
      <c r="C180" s="36">
        <v>15</v>
      </c>
      <c r="D180" s="36">
        <v>18</v>
      </c>
      <c r="E180" s="36">
        <v>10</v>
      </c>
      <c r="F180" s="36">
        <v>9</v>
      </c>
      <c r="G180" s="36" t="s">
        <v>28</v>
      </c>
      <c r="H180" s="36">
        <v>22</v>
      </c>
      <c r="I180" s="36" t="s">
        <v>28</v>
      </c>
      <c r="J180" s="36">
        <v>13</v>
      </c>
      <c r="K180" s="36" t="s">
        <v>28</v>
      </c>
      <c r="L180" s="36">
        <v>462</v>
      </c>
      <c r="M180" s="36">
        <v>657</v>
      </c>
      <c r="N180" s="36">
        <v>351</v>
      </c>
      <c r="O180" s="36">
        <v>561</v>
      </c>
      <c r="P180" s="36" t="s">
        <v>28</v>
      </c>
      <c r="Q180" s="36">
        <v>571</v>
      </c>
      <c r="R180" s="36" t="s">
        <v>28</v>
      </c>
      <c r="S180" s="36">
        <v>586</v>
      </c>
      <c r="T180" s="37" t="s">
        <v>28</v>
      </c>
      <c r="U180" s="37">
        <v>33.200000000000003</v>
      </c>
      <c r="V180" s="37">
        <v>28</v>
      </c>
      <c r="W180" s="38">
        <v>29.5</v>
      </c>
      <c r="X180" s="38">
        <v>15.5</v>
      </c>
      <c r="Y180" s="38" t="s">
        <v>28</v>
      </c>
      <c r="Z180" s="38">
        <v>38.6</v>
      </c>
      <c r="AA180" s="38" t="s">
        <v>28</v>
      </c>
      <c r="AB180" s="38">
        <v>23</v>
      </c>
    </row>
    <row r="181" spans="1:28" ht="27.95" customHeight="1" x14ac:dyDescent="0.25">
      <c r="A181" s="41" t="s">
        <v>245</v>
      </c>
      <c r="B181" s="36">
        <v>59</v>
      </c>
      <c r="C181" s="36">
        <v>182</v>
      </c>
      <c r="D181" s="36">
        <v>154</v>
      </c>
      <c r="E181" s="36">
        <v>49</v>
      </c>
      <c r="F181" s="36">
        <v>104</v>
      </c>
      <c r="G181" s="36">
        <v>38</v>
      </c>
      <c r="H181" s="36">
        <v>55</v>
      </c>
      <c r="I181" s="36">
        <v>77</v>
      </c>
      <c r="J181" s="36">
        <v>117</v>
      </c>
      <c r="K181" s="36">
        <v>918</v>
      </c>
      <c r="L181" s="36">
        <v>3941</v>
      </c>
      <c r="M181" s="36">
        <v>3510</v>
      </c>
      <c r="N181" s="36">
        <v>1247</v>
      </c>
      <c r="O181" s="36">
        <v>4207</v>
      </c>
      <c r="P181" s="36">
        <v>832</v>
      </c>
      <c r="Q181" s="36">
        <v>1582</v>
      </c>
      <c r="R181" s="36">
        <v>1420</v>
      </c>
      <c r="S181" s="36">
        <v>2614</v>
      </c>
      <c r="T181" s="37">
        <v>63.9</v>
      </c>
      <c r="U181" s="37">
        <v>46.1</v>
      </c>
      <c r="V181" s="37">
        <v>43.9</v>
      </c>
      <c r="W181" s="38">
        <v>39.299999999999997</v>
      </c>
      <c r="X181" s="38">
        <v>24.7</v>
      </c>
      <c r="Y181" s="38">
        <v>45.6</v>
      </c>
      <c r="Z181" s="38">
        <v>34.5</v>
      </c>
      <c r="AA181" s="38">
        <v>54.4</v>
      </c>
      <c r="AB181" s="38">
        <v>44.8</v>
      </c>
    </row>
    <row r="182" spans="1:28" ht="24" customHeight="1" x14ac:dyDescent="0.25">
      <c r="A182" s="40" t="s">
        <v>246</v>
      </c>
      <c r="B182" s="45" t="s">
        <v>16</v>
      </c>
      <c r="C182" s="45" t="s">
        <v>16</v>
      </c>
      <c r="D182" s="45" t="s">
        <v>16</v>
      </c>
      <c r="E182" s="45" t="s">
        <v>16</v>
      </c>
      <c r="F182" s="45" t="s">
        <v>16</v>
      </c>
      <c r="G182" s="45" t="s">
        <v>16</v>
      </c>
      <c r="H182" s="45" t="s">
        <v>16</v>
      </c>
      <c r="I182" s="45" t="s">
        <v>16</v>
      </c>
      <c r="J182" s="45" t="s">
        <v>16</v>
      </c>
      <c r="K182" s="45" t="s">
        <v>16</v>
      </c>
      <c r="L182" s="45" t="s">
        <v>16</v>
      </c>
      <c r="M182" s="45" t="s">
        <v>16</v>
      </c>
      <c r="N182" s="45" t="s">
        <v>16</v>
      </c>
      <c r="O182" s="45" t="s">
        <v>16</v>
      </c>
      <c r="P182" s="45" t="s">
        <v>16</v>
      </c>
      <c r="Q182" s="45" t="s">
        <v>16</v>
      </c>
      <c r="R182" s="45" t="s">
        <v>16</v>
      </c>
      <c r="S182" s="45" t="s">
        <v>16</v>
      </c>
      <c r="T182" s="46"/>
      <c r="U182" s="46"/>
      <c r="V182" s="46"/>
      <c r="W182" s="47"/>
      <c r="X182" s="47"/>
      <c r="Y182" s="47"/>
      <c r="Z182" s="47"/>
      <c r="AA182" s="47"/>
      <c r="AB182" s="47"/>
    </row>
    <row r="183" spans="1:28" ht="15" customHeight="1" x14ac:dyDescent="0.25">
      <c r="A183" s="35" t="s">
        <v>247</v>
      </c>
      <c r="B183" s="42" t="s">
        <v>127</v>
      </c>
      <c r="C183" s="42" t="s">
        <v>28</v>
      </c>
      <c r="D183" s="42" t="s">
        <v>28</v>
      </c>
      <c r="E183" s="42" t="s">
        <v>127</v>
      </c>
      <c r="F183" s="42" t="s">
        <v>28</v>
      </c>
      <c r="G183" s="42" t="s">
        <v>28</v>
      </c>
      <c r="H183" s="42" t="s">
        <v>28</v>
      </c>
      <c r="I183" s="42" t="s">
        <v>28</v>
      </c>
      <c r="J183" s="42" t="s">
        <v>28</v>
      </c>
      <c r="K183" s="42" t="s">
        <v>127</v>
      </c>
      <c r="L183" s="42" t="s">
        <v>28</v>
      </c>
      <c r="M183" s="42" t="s">
        <v>28</v>
      </c>
      <c r="N183" s="42" t="s">
        <v>127</v>
      </c>
      <c r="O183" s="42">
        <v>270</v>
      </c>
      <c r="P183" s="42" t="s">
        <v>28</v>
      </c>
      <c r="Q183" s="42" t="s">
        <v>28</v>
      </c>
      <c r="R183" s="42" t="s">
        <v>28</v>
      </c>
      <c r="S183" s="42" t="s">
        <v>28</v>
      </c>
      <c r="T183" s="43" t="s">
        <v>127</v>
      </c>
      <c r="U183" s="43" t="s">
        <v>28</v>
      </c>
      <c r="V183" s="43" t="s">
        <v>28</v>
      </c>
      <c r="W183" s="44" t="s">
        <v>127</v>
      </c>
      <c r="X183" s="44">
        <v>36.299999999999997</v>
      </c>
      <c r="Y183" s="44" t="s">
        <v>28</v>
      </c>
      <c r="Z183" s="44" t="s">
        <v>28</v>
      </c>
      <c r="AA183" s="44" t="s">
        <v>28</v>
      </c>
      <c r="AB183" s="44" t="s">
        <v>28</v>
      </c>
    </row>
    <row r="184" spans="1:28" ht="15" customHeight="1" x14ac:dyDescent="0.25">
      <c r="A184" s="41" t="s">
        <v>248</v>
      </c>
      <c r="B184" s="42" t="s">
        <v>28</v>
      </c>
      <c r="C184" s="42">
        <v>13</v>
      </c>
      <c r="D184" s="42">
        <v>10</v>
      </c>
      <c r="E184" s="42">
        <v>4</v>
      </c>
      <c r="F184" s="42">
        <v>20</v>
      </c>
      <c r="G184" s="42">
        <v>7</v>
      </c>
      <c r="H184" s="42">
        <v>8</v>
      </c>
      <c r="I184" s="42">
        <v>9</v>
      </c>
      <c r="J184" s="42">
        <v>45</v>
      </c>
      <c r="K184" s="42" t="s">
        <v>28</v>
      </c>
      <c r="L184" s="42">
        <v>508</v>
      </c>
      <c r="M184" s="42">
        <v>503</v>
      </c>
      <c r="N184" s="42">
        <v>392</v>
      </c>
      <c r="O184" s="42">
        <v>974</v>
      </c>
      <c r="P184" s="42">
        <v>308</v>
      </c>
      <c r="Q184" s="42">
        <v>619</v>
      </c>
      <c r="R184" s="42">
        <v>271</v>
      </c>
      <c r="S184" s="42">
        <v>2043</v>
      </c>
      <c r="T184" s="43" t="s">
        <v>28</v>
      </c>
      <c r="U184" s="43">
        <v>26</v>
      </c>
      <c r="V184" s="43">
        <v>19.2</v>
      </c>
      <c r="W184" s="44">
        <v>10.1</v>
      </c>
      <c r="X184" s="44">
        <v>20.100000000000001</v>
      </c>
      <c r="Y184" s="44" t="s">
        <v>28</v>
      </c>
      <c r="Z184" s="44">
        <v>13.6</v>
      </c>
      <c r="AA184" s="44">
        <v>33.700000000000003</v>
      </c>
      <c r="AB184" s="44">
        <v>22.1</v>
      </c>
    </row>
    <row r="185" spans="1:28" ht="15" customHeight="1" x14ac:dyDescent="0.25">
      <c r="A185" s="41" t="s">
        <v>249</v>
      </c>
      <c r="B185" s="42">
        <v>40</v>
      </c>
      <c r="C185" s="42">
        <v>62</v>
      </c>
      <c r="D185" s="42">
        <v>68</v>
      </c>
      <c r="E185" s="42">
        <v>18</v>
      </c>
      <c r="F185" s="42">
        <v>73</v>
      </c>
      <c r="G185" s="42">
        <v>20</v>
      </c>
      <c r="H185" s="42">
        <v>61</v>
      </c>
      <c r="I185" s="42">
        <v>14</v>
      </c>
      <c r="J185" s="42">
        <v>77</v>
      </c>
      <c r="K185" s="42">
        <v>444</v>
      </c>
      <c r="L185" s="42">
        <v>1651</v>
      </c>
      <c r="M185" s="42">
        <v>1478</v>
      </c>
      <c r="N185" s="42">
        <v>476</v>
      </c>
      <c r="O185" s="42">
        <v>2212</v>
      </c>
      <c r="P185" s="42">
        <v>867</v>
      </c>
      <c r="Q185" s="42">
        <v>1255</v>
      </c>
      <c r="R185" s="42">
        <v>564</v>
      </c>
      <c r="S185" s="42">
        <v>2202</v>
      </c>
      <c r="T185" s="43">
        <v>91.1</v>
      </c>
      <c r="U185" s="43">
        <v>37.5</v>
      </c>
      <c r="V185" s="43">
        <v>45.8</v>
      </c>
      <c r="W185" s="44">
        <v>38.299999999999997</v>
      </c>
      <c r="X185" s="44">
        <v>32.9</v>
      </c>
      <c r="Y185" s="44">
        <v>22.6</v>
      </c>
      <c r="Z185" s="44">
        <v>48.4</v>
      </c>
      <c r="AA185" s="44">
        <v>25.2</v>
      </c>
      <c r="AB185" s="44">
        <v>34.799999999999997</v>
      </c>
    </row>
    <row r="186" spans="1:28" ht="15" customHeight="1" x14ac:dyDescent="0.25">
      <c r="A186" s="48" t="s">
        <v>250</v>
      </c>
      <c r="B186" s="42">
        <v>64</v>
      </c>
      <c r="C186" s="42">
        <v>303</v>
      </c>
      <c r="D186" s="42">
        <v>404</v>
      </c>
      <c r="E186" s="42">
        <v>123</v>
      </c>
      <c r="F186" s="42">
        <v>196</v>
      </c>
      <c r="G186" s="42">
        <v>74</v>
      </c>
      <c r="H186" s="42">
        <v>131</v>
      </c>
      <c r="I186" s="42">
        <v>136</v>
      </c>
      <c r="J186" s="42">
        <v>186</v>
      </c>
      <c r="K186" s="42">
        <v>1701</v>
      </c>
      <c r="L186" s="42">
        <v>6660</v>
      </c>
      <c r="M186" s="42">
        <v>8786</v>
      </c>
      <c r="N186" s="42">
        <v>3368</v>
      </c>
      <c r="O186" s="42">
        <v>6528</v>
      </c>
      <c r="P186" s="42">
        <v>2259</v>
      </c>
      <c r="Q186" s="42">
        <v>4522</v>
      </c>
      <c r="R186" s="42">
        <v>2927</v>
      </c>
      <c r="S186" s="42">
        <v>4514</v>
      </c>
      <c r="T186" s="43">
        <v>37.4</v>
      </c>
      <c r="U186" s="43">
        <v>45.4</v>
      </c>
      <c r="V186" s="43">
        <v>46</v>
      </c>
      <c r="W186" s="44">
        <v>36.5</v>
      </c>
      <c r="X186" s="44">
        <v>30</v>
      </c>
      <c r="Y186" s="44">
        <v>32.9</v>
      </c>
      <c r="Z186" s="44">
        <v>29</v>
      </c>
      <c r="AA186" s="44">
        <v>46.5</v>
      </c>
      <c r="AB186" s="44">
        <v>41.3</v>
      </c>
    </row>
    <row r="187" spans="1:28" ht="24" customHeight="1" x14ac:dyDescent="0.25">
      <c r="A187" s="40" t="s">
        <v>251</v>
      </c>
      <c r="B187" s="45" t="s">
        <v>16</v>
      </c>
      <c r="C187" s="45" t="s">
        <v>16</v>
      </c>
      <c r="D187" s="45" t="s">
        <v>16</v>
      </c>
      <c r="E187" s="45" t="s">
        <v>16</v>
      </c>
      <c r="F187" s="45" t="s">
        <v>16</v>
      </c>
      <c r="G187" s="45" t="s">
        <v>16</v>
      </c>
      <c r="H187" s="45" t="s">
        <v>16</v>
      </c>
      <c r="I187" s="45" t="s">
        <v>16</v>
      </c>
      <c r="J187" s="45" t="s">
        <v>16</v>
      </c>
      <c r="K187" s="45" t="s">
        <v>16</v>
      </c>
      <c r="L187" s="45" t="s">
        <v>16</v>
      </c>
      <c r="M187" s="45" t="s">
        <v>16</v>
      </c>
      <c r="N187" s="45" t="s">
        <v>16</v>
      </c>
      <c r="O187" s="45" t="s">
        <v>16</v>
      </c>
      <c r="P187" s="45" t="s">
        <v>16</v>
      </c>
      <c r="Q187" s="45" t="s">
        <v>16</v>
      </c>
      <c r="R187" s="45" t="s">
        <v>16</v>
      </c>
      <c r="S187" s="45" t="s">
        <v>16</v>
      </c>
      <c r="T187" s="46"/>
      <c r="U187" s="46"/>
      <c r="V187" s="46"/>
      <c r="W187" s="47"/>
      <c r="X187" s="47"/>
      <c r="Y187" s="47"/>
      <c r="Z187" s="47"/>
      <c r="AA187" s="47"/>
      <c r="AB187" s="47"/>
    </row>
    <row r="188" spans="1:28" ht="15" customHeight="1" x14ac:dyDescent="0.25">
      <c r="A188" s="35" t="s">
        <v>252</v>
      </c>
      <c r="B188" s="42" t="s">
        <v>28</v>
      </c>
      <c r="C188" s="42">
        <v>15</v>
      </c>
      <c r="D188" s="42">
        <v>15</v>
      </c>
      <c r="E188" s="42">
        <v>4</v>
      </c>
      <c r="F188" s="42" t="s">
        <v>28</v>
      </c>
      <c r="G188" s="42" t="s">
        <v>28</v>
      </c>
      <c r="H188" s="42" t="s">
        <v>28</v>
      </c>
      <c r="I188" s="42" t="s">
        <v>28</v>
      </c>
      <c r="J188" s="42">
        <v>21</v>
      </c>
      <c r="K188" s="42" t="s">
        <v>28</v>
      </c>
      <c r="L188" s="42">
        <v>387</v>
      </c>
      <c r="M188" s="42">
        <v>425</v>
      </c>
      <c r="N188" s="42">
        <v>146</v>
      </c>
      <c r="O188" s="42" t="s">
        <v>28</v>
      </c>
      <c r="P188" s="42" t="s">
        <v>28</v>
      </c>
      <c r="Q188" s="42" t="s">
        <v>28</v>
      </c>
      <c r="R188" s="42" t="s">
        <v>28</v>
      </c>
      <c r="S188" s="42">
        <v>417</v>
      </c>
      <c r="T188" s="43" t="s">
        <v>28</v>
      </c>
      <c r="U188" s="43">
        <v>38.200000000000003</v>
      </c>
      <c r="V188" s="43">
        <v>35.5</v>
      </c>
      <c r="W188" s="44">
        <v>25.3</v>
      </c>
      <c r="X188" s="44" t="s">
        <v>28</v>
      </c>
      <c r="Y188" s="44" t="s">
        <v>28</v>
      </c>
      <c r="Z188" s="44" t="s">
        <v>28</v>
      </c>
      <c r="AA188" s="44" t="s">
        <v>28</v>
      </c>
      <c r="AB188" s="44">
        <v>50.9</v>
      </c>
    </row>
    <row r="189" spans="1:28" ht="15" customHeight="1" x14ac:dyDescent="0.25">
      <c r="A189" s="41" t="s">
        <v>248</v>
      </c>
      <c r="B189" s="42">
        <v>36</v>
      </c>
      <c r="C189" s="42">
        <v>74</v>
      </c>
      <c r="D189" s="42">
        <v>123</v>
      </c>
      <c r="E189" s="42">
        <v>26</v>
      </c>
      <c r="F189" s="42">
        <v>37</v>
      </c>
      <c r="G189" s="42">
        <v>13</v>
      </c>
      <c r="H189" s="42">
        <v>20</v>
      </c>
      <c r="I189" s="42">
        <v>20</v>
      </c>
      <c r="J189" s="42">
        <v>59</v>
      </c>
      <c r="K189" s="42">
        <v>615</v>
      </c>
      <c r="L189" s="42">
        <v>2089</v>
      </c>
      <c r="M189" s="42">
        <v>3006</v>
      </c>
      <c r="N189" s="42">
        <v>1201</v>
      </c>
      <c r="O189" s="42">
        <v>1601</v>
      </c>
      <c r="P189" s="42">
        <v>743</v>
      </c>
      <c r="Q189" s="42">
        <v>1139</v>
      </c>
      <c r="R189" s="42">
        <v>540</v>
      </c>
      <c r="S189" s="42">
        <v>2097</v>
      </c>
      <c r="T189" s="43">
        <v>58</v>
      </c>
      <c r="U189" s="43">
        <v>35.299999999999997</v>
      </c>
      <c r="V189" s="43">
        <v>41</v>
      </c>
      <c r="W189" s="44">
        <v>21.9</v>
      </c>
      <c r="X189" s="44">
        <v>23.1</v>
      </c>
      <c r="Y189" s="44">
        <v>18.100000000000001</v>
      </c>
      <c r="Z189" s="44">
        <v>17.8</v>
      </c>
      <c r="AA189" s="44">
        <v>36.299999999999997</v>
      </c>
      <c r="AB189" s="44">
        <v>28.1</v>
      </c>
    </row>
    <row r="190" spans="1:28" ht="15" customHeight="1" x14ac:dyDescent="0.25">
      <c r="A190" s="41" t="s">
        <v>249</v>
      </c>
      <c r="B190" s="42">
        <v>39</v>
      </c>
      <c r="C190" s="42">
        <v>140</v>
      </c>
      <c r="D190" s="42">
        <v>144</v>
      </c>
      <c r="E190" s="42">
        <v>30</v>
      </c>
      <c r="F190" s="42">
        <v>90</v>
      </c>
      <c r="G190" s="42">
        <v>31</v>
      </c>
      <c r="H190" s="42">
        <v>51</v>
      </c>
      <c r="I190" s="42">
        <v>28</v>
      </c>
      <c r="J190" s="42">
        <v>98</v>
      </c>
      <c r="K190" s="42">
        <v>722</v>
      </c>
      <c r="L190" s="42">
        <v>2978</v>
      </c>
      <c r="M190" s="42">
        <v>3188</v>
      </c>
      <c r="N190" s="42">
        <v>901</v>
      </c>
      <c r="O190" s="42">
        <v>2960</v>
      </c>
      <c r="P190" s="42">
        <v>1215</v>
      </c>
      <c r="Q190" s="42">
        <v>1489</v>
      </c>
      <c r="R190" s="42">
        <v>907</v>
      </c>
      <c r="S190" s="42">
        <v>2746</v>
      </c>
      <c r="T190" s="43">
        <v>53.6</v>
      </c>
      <c r="U190" s="43">
        <v>47.1</v>
      </c>
      <c r="V190" s="43">
        <v>45.3</v>
      </c>
      <c r="W190" s="44">
        <v>33.5</v>
      </c>
      <c r="X190" s="44">
        <v>30.5</v>
      </c>
      <c r="Y190" s="44">
        <v>25.3</v>
      </c>
      <c r="Z190" s="44">
        <v>34</v>
      </c>
      <c r="AA190" s="44">
        <v>31</v>
      </c>
      <c r="AB190" s="44">
        <v>35.6</v>
      </c>
    </row>
    <row r="191" spans="1:28" ht="15" customHeight="1" x14ac:dyDescent="0.25">
      <c r="A191" s="48" t="s">
        <v>250</v>
      </c>
      <c r="B191" s="42">
        <v>31</v>
      </c>
      <c r="C191" s="42">
        <v>151</v>
      </c>
      <c r="D191" s="42">
        <v>199</v>
      </c>
      <c r="E191" s="42">
        <v>85</v>
      </c>
      <c r="F191" s="42">
        <v>168</v>
      </c>
      <c r="G191" s="42">
        <v>57</v>
      </c>
      <c r="H191" s="42">
        <v>129</v>
      </c>
      <c r="I191" s="42">
        <v>106</v>
      </c>
      <c r="J191" s="42">
        <v>142</v>
      </c>
      <c r="K191" s="42">
        <v>823</v>
      </c>
      <c r="L191" s="42">
        <v>3372</v>
      </c>
      <c r="M191" s="42">
        <v>4171</v>
      </c>
      <c r="N191" s="42">
        <v>1987</v>
      </c>
      <c r="O191" s="42">
        <v>5301</v>
      </c>
      <c r="P191" s="42">
        <v>1460</v>
      </c>
      <c r="Q191" s="42">
        <v>3780</v>
      </c>
      <c r="R191" s="42">
        <v>2163</v>
      </c>
      <c r="S191" s="42">
        <v>3706</v>
      </c>
      <c r="T191" s="43">
        <v>37.1</v>
      </c>
      <c r="U191" s="43">
        <v>44.7</v>
      </c>
      <c r="V191" s="43">
        <v>47.7</v>
      </c>
      <c r="W191" s="44">
        <v>42.7</v>
      </c>
      <c r="X191" s="44">
        <v>31.6</v>
      </c>
      <c r="Y191" s="44">
        <v>38.799999999999997</v>
      </c>
      <c r="Z191" s="44">
        <v>34.1</v>
      </c>
      <c r="AA191" s="44">
        <v>49.1</v>
      </c>
      <c r="AB191" s="44">
        <v>38.200000000000003</v>
      </c>
    </row>
    <row r="192" spans="1:28" ht="33.950000000000003" customHeight="1" x14ac:dyDescent="0.25">
      <c r="A192" s="40" t="s">
        <v>261</v>
      </c>
      <c r="B192" s="45" t="s">
        <v>16</v>
      </c>
      <c r="C192" s="45" t="s">
        <v>16</v>
      </c>
      <c r="D192" s="45" t="s">
        <v>16</v>
      </c>
      <c r="E192" s="45" t="s">
        <v>16</v>
      </c>
      <c r="F192" s="45" t="s">
        <v>16</v>
      </c>
      <c r="G192" s="45" t="s">
        <v>16</v>
      </c>
      <c r="H192" s="45" t="s">
        <v>16</v>
      </c>
      <c r="I192" s="45" t="s">
        <v>16</v>
      </c>
      <c r="J192" s="45" t="s">
        <v>16</v>
      </c>
      <c r="K192" s="45" t="s">
        <v>16</v>
      </c>
      <c r="L192" s="45" t="s">
        <v>16</v>
      </c>
      <c r="M192" s="45" t="s">
        <v>16</v>
      </c>
      <c r="N192" s="45" t="s">
        <v>16</v>
      </c>
      <c r="O192" s="45" t="s">
        <v>16</v>
      </c>
      <c r="P192" s="45" t="s">
        <v>16</v>
      </c>
      <c r="Q192" s="45" t="s">
        <v>16</v>
      </c>
      <c r="R192" s="45" t="s">
        <v>16</v>
      </c>
      <c r="S192" s="45" t="s">
        <v>16</v>
      </c>
      <c r="T192" s="46"/>
      <c r="U192" s="46"/>
      <c r="V192" s="46"/>
      <c r="W192" s="47"/>
      <c r="X192" s="47"/>
      <c r="Y192" s="47"/>
      <c r="Z192" s="47"/>
      <c r="AA192" s="47"/>
      <c r="AB192" s="47"/>
    </row>
    <row r="193" spans="1:28" ht="15" customHeight="1" x14ac:dyDescent="0.25">
      <c r="A193" s="35" t="s">
        <v>262</v>
      </c>
      <c r="B193" s="42">
        <v>13</v>
      </c>
      <c r="C193" s="42">
        <v>31</v>
      </c>
      <c r="D193" s="42">
        <v>20</v>
      </c>
      <c r="E193" s="42">
        <v>7</v>
      </c>
      <c r="F193" s="42">
        <v>64</v>
      </c>
      <c r="G193" s="42">
        <v>11</v>
      </c>
      <c r="H193" s="42">
        <v>29</v>
      </c>
      <c r="I193" s="42">
        <v>10</v>
      </c>
      <c r="J193" s="42">
        <v>58</v>
      </c>
      <c r="K193" s="42">
        <v>291</v>
      </c>
      <c r="L193" s="42">
        <v>803</v>
      </c>
      <c r="M193" s="42">
        <v>493</v>
      </c>
      <c r="N193" s="42">
        <v>279</v>
      </c>
      <c r="O193" s="42">
        <v>2640</v>
      </c>
      <c r="P193" s="42">
        <v>492</v>
      </c>
      <c r="Q193" s="42">
        <v>931</v>
      </c>
      <c r="R193" s="42">
        <v>333</v>
      </c>
      <c r="S193" s="42">
        <v>1298</v>
      </c>
      <c r="T193" s="43">
        <v>43</v>
      </c>
      <c r="U193" s="43">
        <v>38.700000000000003</v>
      </c>
      <c r="V193" s="43">
        <v>39.700000000000003</v>
      </c>
      <c r="W193" s="44">
        <v>23.9</v>
      </c>
      <c r="X193" s="44">
        <v>24.1</v>
      </c>
      <c r="Y193" s="44">
        <v>21.8</v>
      </c>
      <c r="Z193" s="44">
        <v>30.7</v>
      </c>
      <c r="AA193" s="44">
        <v>31.6</v>
      </c>
      <c r="AB193" s="44">
        <v>44.8</v>
      </c>
    </row>
    <row r="194" spans="1:28" ht="15" customHeight="1" x14ac:dyDescent="0.25">
      <c r="A194" s="41" t="s">
        <v>263</v>
      </c>
      <c r="B194" s="42" t="s">
        <v>28</v>
      </c>
      <c r="C194" s="42">
        <v>27</v>
      </c>
      <c r="D194" s="42">
        <v>70</v>
      </c>
      <c r="E194" s="42">
        <v>14</v>
      </c>
      <c r="F194" s="42">
        <v>32</v>
      </c>
      <c r="G194" s="42">
        <v>15</v>
      </c>
      <c r="H194" s="42">
        <v>25</v>
      </c>
      <c r="I194" s="42">
        <v>15</v>
      </c>
      <c r="J194" s="42">
        <v>31</v>
      </c>
      <c r="K194" s="42" t="s">
        <v>28</v>
      </c>
      <c r="L194" s="42">
        <v>812</v>
      </c>
      <c r="M194" s="42">
        <v>1615</v>
      </c>
      <c r="N194" s="42">
        <v>480</v>
      </c>
      <c r="O194" s="42">
        <v>928</v>
      </c>
      <c r="P194" s="42">
        <v>434</v>
      </c>
      <c r="Q194" s="42">
        <v>1117</v>
      </c>
      <c r="R194" s="42">
        <v>533</v>
      </c>
      <c r="S194" s="42">
        <v>851</v>
      </c>
      <c r="T194" s="43" t="s">
        <v>28</v>
      </c>
      <c r="U194" s="43">
        <v>32.799999999999997</v>
      </c>
      <c r="V194" s="43">
        <v>43.3</v>
      </c>
      <c r="W194" s="44">
        <v>29.4</v>
      </c>
      <c r="X194" s="44">
        <v>34.799999999999997</v>
      </c>
      <c r="Y194" s="44">
        <v>35.5</v>
      </c>
      <c r="Z194" s="44">
        <v>22.4</v>
      </c>
      <c r="AA194" s="44">
        <v>27.7</v>
      </c>
      <c r="AB194" s="44">
        <v>36.799999999999997</v>
      </c>
    </row>
    <row r="195" spans="1:28" ht="15" customHeight="1" x14ac:dyDescent="0.25">
      <c r="A195" s="41" t="s">
        <v>264</v>
      </c>
      <c r="B195" s="42">
        <v>43</v>
      </c>
      <c r="C195" s="42">
        <v>92</v>
      </c>
      <c r="D195" s="42">
        <v>129</v>
      </c>
      <c r="E195" s="42">
        <v>47</v>
      </c>
      <c r="F195" s="42">
        <v>51</v>
      </c>
      <c r="G195" s="42">
        <v>26</v>
      </c>
      <c r="H195" s="42">
        <v>46</v>
      </c>
      <c r="I195" s="42">
        <v>39</v>
      </c>
      <c r="J195" s="42">
        <v>59</v>
      </c>
      <c r="K195" s="42">
        <v>830</v>
      </c>
      <c r="L195" s="42">
        <v>2698</v>
      </c>
      <c r="M195" s="42">
        <v>3361</v>
      </c>
      <c r="N195" s="42">
        <v>1473</v>
      </c>
      <c r="O195" s="42">
        <v>2322</v>
      </c>
      <c r="P195" s="42">
        <v>922</v>
      </c>
      <c r="Q195" s="42">
        <v>1373</v>
      </c>
      <c r="R195" s="42">
        <v>1011</v>
      </c>
      <c r="S195" s="42">
        <v>1818</v>
      </c>
      <c r="T195" s="43">
        <v>51.8</v>
      </c>
      <c r="U195" s="43">
        <v>34.1</v>
      </c>
      <c r="V195" s="43">
        <v>38.200000000000003</v>
      </c>
      <c r="W195" s="44">
        <v>31.8</v>
      </c>
      <c r="X195" s="44">
        <v>21.9</v>
      </c>
      <c r="Y195" s="44">
        <v>28.5</v>
      </c>
      <c r="Z195" s="44">
        <v>33.700000000000003</v>
      </c>
      <c r="AA195" s="44">
        <v>38.9</v>
      </c>
      <c r="AB195" s="44">
        <v>32.4</v>
      </c>
    </row>
    <row r="196" spans="1:28" ht="15" customHeight="1" x14ac:dyDescent="0.25">
      <c r="A196" s="41" t="s">
        <v>224</v>
      </c>
      <c r="B196" s="42" t="s">
        <v>28</v>
      </c>
      <c r="C196" s="42" t="s">
        <v>28</v>
      </c>
      <c r="D196" s="42" t="s">
        <v>28</v>
      </c>
      <c r="E196" s="42" t="s">
        <v>28</v>
      </c>
      <c r="F196" s="42">
        <v>4</v>
      </c>
      <c r="G196" s="42" t="s">
        <v>28</v>
      </c>
      <c r="H196" s="42" t="s">
        <v>28</v>
      </c>
      <c r="I196" s="42" t="s">
        <v>28</v>
      </c>
      <c r="J196" s="42" t="s">
        <v>28</v>
      </c>
      <c r="K196" s="42" t="s">
        <v>28</v>
      </c>
      <c r="L196" s="42">
        <v>897</v>
      </c>
      <c r="M196" s="42">
        <v>220</v>
      </c>
      <c r="N196" s="42" t="s">
        <v>28</v>
      </c>
      <c r="O196" s="42" t="s">
        <v>28</v>
      </c>
      <c r="P196" s="42" t="s">
        <v>28</v>
      </c>
      <c r="Q196" s="42">
        <v>124</v>
      </c>
      <c r="R196" s="42" t="s">
        <v>28</v>
      </c>
      <c r="S196" s="42">
        <v>208</v>
      </c>
      <c r="T196" s="43" t="s">
        <v>28</v>
      </c>
      <c r="U196" s="43" t="s">
        <v>28</v>
      </c>
      <c r="V196" s="43">
        <v>18.2</v>
      </c>
      <c r="W196" s="44" t="s">
        <v>28</v>
      </c>
      <c r="X196" s="44" t="s">
        <v>28</v>
      </c>
      <c r="Y196" s="44" t="s">
        <v>28</v>
      </c>
      <c r="Z196" s="44" t="s">
        <v>28</v>
      </c>
      <c r="AA196" s="44" t="s">
        <v>28</v>
      </c>
      <c r="AB196" s="44" t="s">
        <v>28</v>
      </c>
    </row>
    <row r="197" spans="1:28" ht="15" customHeight="1" x14ac:dyDescent="0.25">
      <c r="A197" s="41" t="s">
        <v>265</v>
      </c>
      <c r="B197" s="42">
        <v>67</v>
      </c>
      <c r="C197" s="42">
        <v>217</v>
      </c>
      <c r="D197" s="42">
        <v>244</v>
      </c>
      <c r="E197" s="42">
        <v>62</v>
      </c>
      <c r="F197" s="42">
        <v>101</v>
      </c>
      <c r="G197" s="42">
        <v>38</v>
      </c>
      <c r="H197" s="42">
        <v>59</v>
      </c>
      <c r="I197" s="42">
        <v>54</v>
      </c>
      <c r="J197" s="42">
        <v>118</v>
      </c>
      <c r="K197" s="42">
        <v>1038</v>
      </c>
      <c r="L197" s="42">
        <v>4149</v>
      </c>
      <c r="M197" s="42">
        <v>4787</v>
      </c>
      <c r="N197" s="42">
        <v>1396</v>
      </c>
      <c r="O197" s="42">
        <v>2879</v>
      </c>
      <c r="P197" s="42">
        <v>1034</v>
      </c>
      <c r="Q197" s="42">
        <v>1398</v>
      </c>
      <c r="R197" s="42">
        <v>1070</v>
      </c>
      <c r="S197" s="42">
        <v>2269</v>
      </c>
      <c r="T197" s="43">
        <v>64.2</v>
      </c>
      <c r="U197" s="43">
        <v>52.3</v>
      </c>
      <c r="V197" s="43">
        <v>50.9</v>
      </c>
      <c r="W197" s="44">
        <v>44.7</v>
      </c>
      <c r="X197" s="44">
        <v>35.1</v>
      </c>
      <c r="Y197" s="44">
        <v>36.799999999999997</v>
      </c>
      <c r="Z197" s="44">
        <v>42.4</v>
      </c>
      <c r="AA197" s="44">
        <v>50.3</v>
      </c>
      <c r="AB197" s="44">
        <v>52.2</v>
      </c>
    </row>
    <row r="198" spans="1:28" ht="15" customHeight="1" x14ac:dyDescent="0.25">
      <c r="A198" s="41" t="s">
        <v>266</v>
      </c>
      <c r="B198" s="42">
        <v>58</v>
      </c>
      <c r="C198" s="42">
        <v>183</v>
      </c>
      <c r="D198" s="42">
        <v>299</v>
      </c>
      <c r="E198" s="42">
        <v>92</v>
      </c>
      <c r="F198" s="42">
        <v>189</v>
      </c>
      <c r="G198" s="42">
        <v>72</v>
      </c>
      <c r="H198" s="42">
        <v>140</v>
      </c>
      <c r="I198" s="42">
        <v>87</v>
      </c>
      <c r="J198" s="42">
        <v>208</v>
      </c>
      <c r="K198" s="42">
        <v>1359</v>
      </c>
      <c r="L198" s="42">
        <v>4721</v>
      </c>
      <c r="M198" s="42">
        <v>6585</v>
      </c>
      <c r="N198" s="42">
        <v>2809</v>
      </c>
      <c r="O198" s="42">
        <v>6570</v>
      </c>
      <c r="P198" s="42">
        <v>2439</v>
      </c>
      <c r="Q198" s="42">
        <v>4502</v>
      </c>
      <c r="R198" s="42">
        <v>2405</v>
      </c>
      <c r="S198" s="42">
        <v>6178</v>
      </c>
      <c r="T198" s="43">
        <v>42.4</v>
      </c>
      <c r="U198" s="43">
        <v>38.799999999999997</v>
      </c>
      <c r="V198" s="43">
        <v>45.3</v>
      </c>
      <c r="W198" s="44">
        <v>32.9</v>
      </c>
      <c r="X198" s="44">
        <v>28.7</v>
      </c>
      <c r="Y198" s="44">
        <v>29.3</v>
      </c>
      <c r="Z198" s="44">
        <v>31.2</v>
      </c>
      <c r="AA198" s="44">
        <v>36</v>
      </c>
      <c r="AB198" s="44">
        <v>33.700000000000003</v>
      </c>
    </row>
    <row r="199" spans="1:28" ht="15" customHeight="1" x14ac:dyDescent="0.25">
      <c r="A199" s="41" t="s">
        <v>173</v>
      </c>
      <c r="B199" s="42" t="s">
        <v>28</v>
      </c>
      <c r="C199" s="42" t="s">
        <v>28</v>
      </c>
      <c r="D199" s="42" t="s">
        <v>28</v>
      </c>
      <c r="E199" s="42" t="s">
        <v>28</v>
      </c>
      <c r="F199" s="42" t="s">
        <v>28</v>
      </c>
      <c r="G199" s="42" t="s">
        <v>28</v>
      </c>
      <c r="H199" s="42" t="s">
        <v>28</v>
      </c>
      <c r="I199" s="42" t="s">
        <v>28</v>
      </c>
      <c r="J199" s="42" t="s">
        <v>28</v>
      </c>
      <c r="K199" s="42" t="s">
        <v>28</v>
      </c>
      <c r="L199" s="42" t="s">
        <v>28</v>
      </c>
      <c r="M199" s="42" t="s">
        <v>28</v>
      </c>
      <c r="N199" s="42" t="s">
        <v>28</v>
      </c>
      <c r="O199" s="42" t="s">
        <v>28</v>
      </c>
      <c r="P199" s="42" t="s">
        <v>28</v>
      </c>
      <c r="Q199" s="42" t="s">
        <v>28</v>
      </c>
      <c r="R199" s="42" t="s">
        <v>28</v>
      </c>
      <c r="S199" s="42" t="s">
        <v>28</v>
      </c>
      <c r="T199" s="43" t="s">
        <v>28</v>
      </c>
      <c r="U199" s="43" t="s">
        <v>28</v>
      </c>
      <c r="V199" s="43" t="s">
        <v>28</v>
      </c>
      <c r="W199" s="44" t="s">
        <v>28</v>
      </c>
      <c r="X199" s="44" t="s">
        <v>28</v>
      </c>
      <c r="Y199" s="44" t="s">
        <v>28</v>
      </c>
      <c r="Z199" s="44" t="s">
        <v>28</v>
      </c>
      <c r="AA199" s="44" t="s">
        <v>28</v>
      </c>
      <c r="AB199" s="44" t="s">
        <v>28</v>
      </c>
    </row>
    <row r="200" spans="1:28" ht="33.950000000000003" customHeight="1" x14ac:dyDescent="0.25">
      <c r="A200" s="40" t="s">
        <v>267</v>
      </c>
      <c r="B200" s="45" t="s">
        <v>16</v>
      </c>
      <c r="C200" s="45" t="s">
        <v>16</v>
      </c>
      <c r="D200" s="45" t="s">
        <v>16</v>
      </c>
      <c r="E200" s="45" t="s">
        <v>16</v>
      </c>
      <c r="F200" s="45" t="s">
        <v>16</v>
      </c>
      <c r="G200" s="45" t="s">
        <v>16</v>
      </c>
      <c r="H200" s="45" t="s">
        <v>16</v>
      </c>
      <c r="I200" s="45" t="s">
        <v>16</v>
      </c>
      <c r="J200" s="45" t="s">
        <v>16</v>
      </c>
      <c r="K200" s="45" t="s">
        <v>16</v>
      </c>
      <c r="L200" s="45" t="s">
        <v>16</v>
      </c>
      <c r="M200" s="45" t="s">
        <v>16</v>
      </c>
      <c r="N200" s="45" t="s">
        <v>16</v>
      </c>
      <c r="O200" s="45" t="s">
        <v>16</v>
      </c>
      <c r="P200" s="45" t="s">
        <v>16</v>
      </c>
      <c r="Q200" s="45" t="s">
        <v>16</v>
      </c>
      <c r="R200" s="45" t="s">
        <v>16</v>
      </c>
      <c r="S200" s="45" t="s">
        <v>16</v>
      </c>
      <c r="T200" s="46"/>
      <c r="U200" s="46"/>
      <c r="V200" s="46"/>
      <c r="W200" s="47"/>
      <c r="X200" s="47"/>
      <c r="Y200" s="47"/>
      <c r="Z200" s="47"/>
      <c r="AA200" s="47"/>
      <c r="AB200" s="47"/>
    </row>
    <row r="201" spans="1:28" ht="27.95" customHeight="1" x14ac:dyDescent="0.25">
      <c r="A201" s="35" t="s">
        <v>268</v>
      </c>
      <c r="B201" s="42">
        <v>10</v>
      </c>
      <c r="C201" s="42">
        <v>54</v>
      </c>
      <c r="D201" s="42">
        <v>113</v>
      </c>
      <c r="E201" s="42">
        <v>33</v>
      </c>
      <c r="F201" s="42">
        <v>44</v>
      </c>
      <c r="G201" s="42">
        <v>19</v>
      </c>
      <c r="H201" s="42">
        <v>44</v>
      </c>
      <c r="I201" s="42">
        <v>19</v>
      </c>
      <c r="J201" s="42">
        <v>69</v>
      </c>
      <c r="K201" s="42">
        <v>240</v>
      </c>
      <c r="L201" s="42">
        <v>1074</v>
      </c>
      <c r="M201" s="42">
        <v>2760</v>
      </c>
      <c r="N201" s="42">
        <v>1084</v>
      </c>
      <c r="O201" s="42">
        <v>1114</v>
      </c>
      <c r="P201" s="42">
        <v>662</v>
      </c>
      <c r="Q201" s="42">
        <v>1479</v>
      </c>
      <c r="R201" s="42">
        <v>532</v>
      </c>
      <c r="S201" s="42">
        <v>1558</v>
      </c>
      <c r="T201" s="43">
        <v>40.200000000000003</v>
      </c>
      <c r="U201" s="43">
        <v>50.4</v>
      </c>
      <c r="V201" s="43">
        <v>41.1</v>
      </c>
      <c r="W201" s="44">
        <v>30.8</v>
      </c>
      <c r="X201" s="44">
        <v>39.5</v>
      </c>
      <c r="Y201" s="44">
        <v>29.1</v>
      </c>
      <c r="Z201" s="44">
        <v>29.9</v>
      </c>
      <c r="AA201" s="44">
        <v>35.1</v>
      </c>
      <c r="AB201" s="44">
        <v>44.4</v>
      </c>
    </row>
    <row r="202" spans="1:28" ht="15" customHeight="1" x14ac:dyDescent="0.25">
      <c r="A202" s="35" t="s">
        <v>262</v>
      </c>
      <c r="B202" s="42">
        <v>13</v>
      </c>
      <c r="C202" s="42">
        <v>32</v>
      </c>
      <c r="D202" s="42">
        <v>22</v>
      </c>
      <c r="E202" s="42">
        <v>6</v>
      </c>
      <c r="F202" s="42">
        <v>77</v>
      </c>
      <c r="G202" s="42">
        <v>8</v>
      </c>
      <c r="H202" s="42">
        <v>31</v>
      </c>
      <c r="I202" s="42">
        <v>12</v>
      </c>
      <c r="J202" s="42">
        <v>51</v>
      </c>
      <c r="K202" s="42">
        <v>309</v>
      </c>
      <c r="L202" s="42">
        <v>884</v>
      </c>
      <c r="M202" s="42">
        <v>458</v>
      </c>
      <c r="N202" s="42">
        <v>252</v>
      </c>
      <c r="O202" s="42">
        <v>2765</v>
      </c>
      <c r="P202" s="42">
        <v>461</v>
      </c>
      <c r="Q202" s="42">
        <v>1073</v>
      </c>
      <c r="R202" s="42">
        <v>410</v>
      </c>
      <c r="S202" s="42">
        <v>1407</v>
      </c>
      <c r="T202" s="43">
        <v>41</v>
      </c>
      <c r="U202" s="43">
        <v>35.700000000000003</v>
      </c>
      <c r="V202" s="43">
        <v>47.8</v>
      </c>
      <c r="W202" s="44">
        <v>25.6</v>
      </c>
      <c r="X202" s="44">
        <v>27.9</v>
      </c>
      <c r="Y202" s="44">
        <v>17.5</v>
      </c>
      <c r="Z202" s="44">
        <v>28.5</v>
      </c>
      <c r="AA202" s="44">
        <v>28.2</v>
      </c>
      <c r="AB202" s="44">
        <v>35.9</v>
      </c>
    </row>
    <row r="203" spans="1:28" ht="15" customHeight="1" x14ac:dyDescent="0.25">
      <c r="A203" s="41" t="s">
        <v>269</v>
      </c>
      <c r="B203" s="42">
        <v>43</v>
      </c>
      <c r="C203" s="42">
        <v>103</v>
      </c>
      <c r="D203" s="42">
        <v>71</v>
      </c>
      <c r="E203" s="42">
        <v>20</v>
      </c>
      <c r="F203" s="42">
        <v>47</v>
      </c>
      <c r="G203" s="42">
        <v>22</v>
      </c>
      <c r="H203" s="42">
        <v>15</v>
      </c>
      <c r="I203" s="42">
        <v>19</v>
      </c>
      <c r="J203" s="42">
        <v>25</v>
      </c>
      <c r="K203" s="42">
        <v>581</v>
      </c>
      <c r="L203" s="42">
        <v>2256</v>
      </c>
      <c r="M203" s="42">
        <v>1660</v>
      </c>
      <c r="N203" s="42">
        <v>560</v>
      </c>
      <c r="O203" s="42">
        <v>1636</v>
      </c>
      <c r="P203" s="42">
        <v>644</v>
      </c>
      <c r="Q203" s="42">
        <v>607</v>
      </c>
      <c r="R203" s="42">
        <v>513</v>
      </c>
      <c r="S203" s="42">
        <v>681</v>
      </c>
      <c r="T203" s="43">
        <v>73.2</v>
      </c>
      <c r="U203" s="43">
        <v>45.6</v>
      </c>
      <c r="V203" s="43">
        <v>42.5</v>
      </c>
      <c r="W203" s="44">
        <v>35.9</v>
      </c>
      <c r="X203" s="44">
        <v>28.8</v>
      </c>
      <c r="Y203" s="44">
        <v>34.700000000000003</v>
      </c>
      <c r="Z203" s="44">
        <v>25.2</v>
      </c>
      <c r="AA203" s="44">
        <v>37.6</v>
      </c>
      <c r="AB203" s="44">
        <v>37</v>
      </c>
    </row>
    <row r="204" spans="1:28" ht="15" customHeight="1" x14ac:dyDescent="0.25">
      <c r="A204" s="41" t="s">
        <v>225</v>
      </c>
      <c r="B204" s="36" t="s">
        <v>28</v>
      </c>
      <c r="C204" s="36" t="s">
        <v>28</v>
      </c>
      <c r="D204" s="36">
        <v>5</v>
      </c>
      <c r="E204" s="36" t="s">
        <v>28</v>
      </c>
      <c r="F204" s="36">
        <v>7</v>
      </c>
      <c r="G204" s="36" t="s">
        <v>28</v>
      </c>
      <c r="H204" s="36" t="s">
        <v>28</v>
      </c>
      <c r="I204" s="36" t="s">
        <v>28</v>
      </c>
      <c r="J204" s="36" t="s">
        <v>28</v>
      </c>
      <c r="K204" s="36" t="s">
        <v>28</v>
      </c>
      <c r="L204" s="36" t="s">
        <v>28</v>
      </c>
      <c r="M204" s="36">
        <v>220</v>
      </c>
      <c r="N204" s="36" t="s">
        <v>28</v>
      </c>
      <c r="O204" s="36" t="s">
        <v>28</v>
      </c>
      <c r="P204" s="36" t="s">
        <v>28</v>
      </c>
      <c r="Q204" s="36">
        <v>244</v>
      </c>
      <c r="R204" s="36" t="s">
        <v>28</v>
      </c>
      <c r="S204" s="36">
        <v>186</v>
      </c>
      <c r="T204" s="37" t="s">
        <v>28</v>
      </c>
      <c r="U204" s="37" t="s">
        <v>28</v>
      </c>
      <c r="V204" s="37">
        <v>20.8</v>
      </c>
      <c r="W204" s="38" t="s">
        <v>28</v>
      </c>
      <c r="X204" s="38" t="s">
        <v>28</v>
      </c>
      <c r="Y204" s="38" t="s">
        <v>28</v>
      </c>
      <c r="Z204" s="38" t="s">
        <v>28</v>
      </c>
      <c r="AA204" s="38" t="s">
        <v>28</v>
      </c>
      <c r="AB204" s="38">
        <v>133.9</v>
      </c>
    </row>
    <row r="205" spans="1:28" ht="15" customHeight="1" x14ac:dyDescent="0.25">
      <c r="A205" s="41" t="s">
        <v>270</v>
      </c>
      <c r="B205" s="36">
        <v>31</v>
      </c>
      <c r="C205" s="36">
        <v>97</v>
      </c>
      <c r="D205" s="36">
        <v>142</v>
      </c>
      <c r="E205" s="36">
        <v>43</v>
      </c>
      <c r="F205" s="36">
        <v>86</v>
      </c>
      <c r="G205" s="36">
        <v>31</v>
      </c>
      <c r="H205" s="36">
        <v>52</v>
      </c>
      <c r="I205" s="36">
        <v>35</v>
      </c>
      <c r="J205" s="36">
        <v>66</v>
      </c>
      <c r="K205" s="36">
        <v>511</v>
      </c>
      <c r="L205" s="36">
        <v>2228</v>
      </c>
      <c r="M205" s="36">
        <v>3021</v>
      </c>
      <c r="N205" s="36">
        <v>765</v>
      </c>
      <c r="O205" s="36">
        <v>2820</v>
      </c>
      <c r="P205" s="36">
        <v>749</v>
      </c>
      <c r="Q205" s="36">
        <v>1351</v>
      </c>
      <c r="R205" s="36">
        <v>795</v>
      </c>
      <c r="S205" s="36">
        <v>1504</v>
      </c>
      <c r="T205" s="37">
        <v>59.9</v>
      </c>
      <c r="U205" s="37">
        <v>43.7</v>
      </c>
      <c r="V205" s="37">
        <v>47.2</v>
      </c>
      <c r="W205" s="38">
        <v>55.9</v>
      </c>
      <c r="X205" s="38">
        <v>30.6</v>
      </c>
      <c r="Y205" s="38">
        <v>41.3</v>
      </c>
      <c r="Z205" s="38">
        <v>38.4</v>
      </c>
      <c r="AA205" s="38">
        <v>44.2</v>
      </c>
      <c r="AB205" s="38">
        <v>44.1</v>
      </c>
    </row>
    <row r="206" spans="1:28" ht="15" customHeight="1" x14ac:dyDescent="0.25">
      <c r="A206" s="41" t="s">
        <v>271</v>
      </c>
      <c r="B206" s="36">
        <v>73</v>
      </c>
      <c r="C206" s="36">
        <v>200</v>
      </c>
      <c r="D206" s="36">
        <v>299</v>
      </c>
      <c r="E206" s="36">
        <v>80</v>
      </c>
      <c r="F206" s="36">
        <v>185</v>
      </c>
      <c r="G206" s="36">
        <v>65</v>
      </c>
      <c r="H206" s="36">
        <v>120</v>
      </c>
      <c r="I206" s="36">
        <v>73</v>
      </c>
      <c r="J206" s="36">
        <v>192</v>
      </c>
      <c r="K206" s="36">
        <v>1399</v>
      </c>
      <c r="L206" s="36">
        <v>5388</v>
      </c>
      <c r="M206" s="36">
        <v>6192</v>
      </c>
      <c r="N206" s="36">
        <v>2423</v>
      </c>
      <c r="O206" s="36">
        <v>6065</v>
      </c>
      <c r="P206" s="36">
        <v>2170</v>
      </c>
      <c r="Q206" s="36">
        <v>3827</v>
      </c>
      <c r="R206" s="36">
        <v>1955</v>
      </c>
      <c r="S206" s="36">
        <v>5499</v>
      </c>
      <c r="T206" s="37">
        <v>52</v>
      </c>
      <c r="U206" s="37">
        <v>37</v>
      </c>
      <c r="V206" s="37">
        <v>48.2</v>
      </c>
      <c r="W206" s="38">
        <v>33</v>
      </c>
      <c r="X206" s="38">
        <v>30.5</v>
      </c>
      <c r="Y206" s="38">
        <v>30.1</v>
      </c>
      <c r="Z206" s="38">
        <v>31.2</v>
      </c>
      <c r="AA206" s="38">
        <v>37.5</v>
      </c>
      <c r="AB206" s="38">
        <v>34.799999999999997</v>
      </c>
    </row>
    <row r="207" spans="1:28" ht="15" customHeight="1" x14ac:dyDescent="0.25">
      <c r="A207" s="41" t="s">
        <v>272</v>
      </c>
      <c r="B207" s="36" t="s">
        <v>127</v>
      </c>
      <c r="C207" s="36">
        <v>3</v>
      </c>
      <c r="D207" s="36">
        <v>6</v>
      </c>
      <c r="E207" s="36" t="s">
        <v>127</v>
      </c>
      <c r="F207" s="36">
        <v>5</v>
      </c>
      <c r="G207" s="36" t="s">
        <v>127</v>
      </c>
      <c r="H207" s="36" t="s">
        <v>28</v>
      </c>
      <c r="I207" s="36">
        <v>24</v>
      </c>
      <c r="J207" s="36">
        <v>28</v>
      </c>
      <c r="K207" s="36" t="s">
        <v>127</v>
      </c>
      <c r="L207" s="36">
        <v>18</v>
      </c>
      <c r="M207" s="36">
        <v>74</v>
      </c>
      <c r="N207" s="36" t="s">
        <v>127</v>
      </c>
      <c r="O207" s="36">
        <v>129</v>
      </c>
      <c r="P207" s="36" t="s">
        <v>127</v>
      </c>
      <c r="Q207" s="36" t="s">
        <v>28</v>
      </c>
      <c r="R207" s="36">
        <v>571</v>
      </c>
      <c r="S207" s="36">
        <v>533</v>
      </c>
      <c r="T207" s="37" t="s">
        <v>127</v>
      </c>
      <c r="U207" s="37">
        <v>184.1</v>
      </c>
      <c r="V207" s="37">
        <v>81.3</v>
      </c>
      <c r="W207" s="38" t="s">
        <v>127</v>
      </c>
      <c r="X207" s="38">
        <v>39.1</v>
      </c>
      <c r="Y207" s="38" t="s">
        <v>127</v>
      </c>
      <c r="Z207" s="38" t="s">
        <v>28</v>
      </c>
      <c r="AA207" s="38">
        <v>41.9</v>
      </c>
      <c r="AB207" s="38">
        <v>51.9</v>
      </c>
    </row>
    <row r="208" spans="1:28" ht="15" customHeight="1" x14ac:dyDescent="0.25">
      <c r="A208" s="41" t="s">
        <v>173</v>
      </c>
      <c r="B208" s="36" t="s">
        <v>28</v>
      </c>
      <c r="C208" s="36" t="s">
        <v>28</v>
      </c>
      <c r="D208" s="36" t="s">
        <v>28</v>
      </c>
      <c r="E208" s="36" t="s">
        <v>28</v>
      </c>
      <c r="F208" s="36" t="s">
        <v>28</v>
      </c>
      <c r="G208" s="36" t="s">
        <v>127</v>
      </c>
      <c r="H208" s="36" t="s">
        <v>28</v>
      </c>
      <c r="I208" s="36" t="s">
        <v>28</v>
      </c>
      <c r="J208" s="36" t="s">
        <v>28</v>
      </c>
      <c r="K208" s="36" t="s">
        <v>28</v>
      </c>
      <c r="L208" s="36" t="s">
        <v>28</v>
      </c>
      <c r="M208" s="36" t="s">
        <v>28</v>
      </c>
      <c r="N208" s="36" t="s">
        <v>28</v>
      </c>
      <c r="O208" s="36" t="s">
        <v>28</v>
      </c>
      <c r="P208" s="36" t="s">
        <v>127</v>
      </c>
      <c r="Q208" s="36" t="s">
        <v>28</v>
      </c>
      <c r="R208" s="36" t="s">
        <v>28</v>
      </c>
      <c r="S208" s="36" t="s">
        <v>28</v>
      </c>
      <c r="T208" s="37" t="s">
        <v>28</v>
      </c>
      <c r="U208" s="37" t="s">
        <v>28</v>
      </c>
      <c r="V208" s="37" t="s">
        <v>28</v>
      </c>
      <c r="W208" s="38" t="s">
        <v>28</v>
      </c>
      <c r="X208" s="38" t="s">
        <v>28</v>
      </c>
      <c r="Y208" s="38" t="s">
        <v>127</v>
      </c>
      <c r="Z208" s="38" t="s">
        <v>28</v>
      </c>
      <c r="AA208" s="38" t="s">
        <v>28</v>
      </c>
      <c r="AB208" s="38" t="s">
        <v>28</v>
      </c>
    </row>
    <row r="209" spans="1:28" ht="33.950000000000003" customHeight="1" x14ac:dyDescent="0.25">
      <c r="A209" s="40" t="s">
        <v>273</v>
      </c>
      <c r="B209" s="45" t="s">
        <v>16</v>
      </c>
      <c r="C209" s="45" t="s">
        <v>16</v>
      </c>
      <c r="D209" s="45" t="s">
        <v>16</v>
      </c>
      <c r="E209" s="45" t="s">
        <v>16</v>
      </c>
      <c r="F209" s="45" t="s">
        <v>16</v>
      </c>
      <c r="G209" s="45" t="s">
        <v>16</v>
      </c>
      <c r="H209" s="45" t="s">
        <v>16</v>
      </c>
      <c r="I209" s="45" t="s">
        <v>16</v>
      </c>
      <c r="J209" s="45" t="s">
        <v>16</v>
      </c>
      <c r="K209" s="45" t="s">
        <v>16</v>
      </c>
      <c r="L209" s="45" t="s">
        <v>16</v>
      </c>
      <c r="M209" s="45" t="s">
        <v>16</v>
      </c>
      <c r="N209" s="45" t="s">
        <v>16</v>
      </c>
      <c r="O209" s="45" t="s">
        <v>16</v>
      </c>
      <c r="P209" s="45" t="s">
        <v>16</v>
      </c>
      <c r="Q209" s="45" t="s">
        <v>16</v>
      </c>
      <c r="R209" s="45" t="s">
        <v>16</v>
      </c>
      <c r="S209" s="45" t="s">
        <v>16</v>
      </c>
      <c r="T209" s="46"/>
      <c r="U209" s="46"/>
      <c r="V209" s="46"/>
      <c r="W209" s="47"/>
      <c r="X209" s="47"/>
      <c r="Y209" s="47"/>
      <c r="Z209" s="47"/>
      <c r="AA209" s="47"/>
      <c r="AB209" s="47"/>
    </row>
    <row r="210" spans="1:28" ht="15" customHeight="1" x14ac:dyDescent="0.25">
      <c r="A210" s="35" t="s">
        <v>274</v>
      </c>
      <c r="B210" s="42">
        <v>33</v>
      </c>
      <c r="C210" s="42">
        <v>142</v>
      </c>
      <c r="D210" s="42">
        <v>170</v>
      </c>
      <c r="E210" s="42">
        <v>61</v>
      </c>
      <c r="F210" s="42">
        <v>103</v>
      </c>
      <c r="G210" s="42">
        <v>47</v>
      </c>
      <c r="H210" s="42">
        <v>84</v>
      </c>
      <c r="I210" s="42">
        <v>44</v>
      </c>
      <c r="J210" s="42">
        <v>89</v>
      </c>
      <c r="K210" s="42">
        <v>919</v>
      </c>
      <c r="L210" s="42">
        <v>3140</v>
      </c>
      <c r="M210" s="42">
        <v>3901</v>
      </c>
      <c r="N210" s="42">
        <v>1942</v>
      </c>
      <c r="O210" s="42">
        <v>3318</v>
      </c>
      <c r="P210" s="42">
        <v>1310</v>
      </c>
      <c r="Q210" s="42">
        <v>2353</v>
      </c>
      <c r="R210" s="42">
        <v>1160</v>
      </c>
      <c r="S210" s="42">
        <v>3014</v>
      </c>
      <c r="T210" s="43">
        <v>36.200000000000003</v>
      </c>
      <c r="U210" s="43">
        <v>45.1</v>
      </c>
      <c r="V210" s="43">
        <v>43.5</v>
      </c>
      <c r="W210" s="44">
        <v>31.5</v>
      </c>
      <c r="X210" s="44">
        <v>30.9</v>
      </c>
      <c r="Y210" s="44">
        <v>35.6</v>
      </c>
      <c r="Z210" s="44">
        <v>35.5</v>
      </c>
      <c r="AA210" s="44">
        <v>37.6</v>
      </c>
      <c r="AB210" s="44">
        <v>29.4</v>
      </c>
    </row>
    <row r="211" spans="1:28" ht="15" customHeight="1" x14ac:dyDescent="0.25">
      <c r="A211" s="35" t="s">
        <v>275</v>
      </c>
      <c r="B211" s="42">
        <v>36</v>
      </c>
      <c r="C211" s="42">
        <v>158</v>
      </c>
      <c r="D211" s="42">
        <v>199</v>
      </c>
      <c r="E211" s="42">
        <v>68</v>
      </c>
      <c r="F211" s="42">
        <v>116</v>
      </c>
      <c r="G211" s="42">
        <v>51</v>
      </c>
      <c r="H211" s="42">
        <v>90</v>
      </c>
      <c r="I211" s="42">
        <v>52</v>
      </c>
      <c r="J211" s="42">
        <v>91</v>
      </c>
      <c r="K211" s="42">
        <v>942</v>
      </c>
      <c r="L211" s="42">
        <v>3877</v>
      </c>
      <c r="M211" s="42">
        <v>4336</v>
      </c>
      <c r="N211" s="42">
        <v>1967</v>
      </c>
      <c r="O211" s="42">
        <v>3882</v>
      </c>
      <c r="P211" s="42">
        <v>1407</v>
      </c>
      <c r="Q211" s="42">
        <v>2491</v>
      </c>
      <c r="R211" s="42">
        <v>1253</v>
      </c>
      <c r="S211" s="42">
        <v>2938</v>
      </c>
      <c r="T211" s="43">
        <v>38.200000000000003</v>
      </c>
      <c r="U211" s="43">
        <v>40.799999999999997</v>
      </c>
      <c r="V211" s="43">
        <v>45.9</v>
      </c>
      <c r="W211" s="44">
        <v>34.4</v>
      </c>
      <c r="X211" s="44">
        <v>29.8</v>
      </c>
      <c r="Y211" s="44">
        <v>36.200000000000003</v>
      </c>
      <c r="Z211" s="44">
        <v>36.200000000000003</v>
      </c>
      <c r="AA211" s="44">
        <v>41.1</v>
      </c>
      <c r="AB211" s="44">
        <v>31</v>
      </c>
    </row>
    <row r="212" spans="1:28" ht="24" customHeight="1" x14ac:dyDescent="0.25">
      <c r="A212" s="40" t="s">
        <v>276</v>
      </c>
      <c r="B212" s="45" t="s">
        <v>16</v>
      </c>
      <c r="C212" s="45" t="s">
        <v>16</v>
      </c>
      <c r="D212" s="45" t="s">
        <v>16</v>
      </c>
      <c r="E212" s="45" t="s">
        <v>16</v>
      </c>
      <c r="F212" s="45" t="s">
        <v>16</v>
      </c>
      <c r="G212" s="45" t="s">
        <v>16</v>
      </c>
      <c r="H212" s="45" t="s">
        <v>16</v>
      </c>
      <c r="I212" s="45" t="s">
        <v>16</v>
      </c>
      <c r="J212" s="45" t="s">
        <v>16</v>
      </c>
      <c r="K212" s="45" t="s">
        <v>16</v>
      </c>
      <c r="L212" s="45" t="s">
        <v>16</v>
      </c>
      <c r="M212" s="45" t="s">
        <v>16</v>
      </c>
      <c r="N212" s="45" t="s">
        <v>16</v>
      </c>
      <c r="O212" s="45" t="s">
        <v>16</v>
      </c>
      <c r="P212" s="45" t="s">
        <v>16</v>
      </c>
      <c r="Q212" s="45" t="s">
        <v>16</v>
      </c>
      <c r="R212" s="45" t="s">
        <v>16</v>
      </c>
      <c r="S212" s="45" t="s">
        <v>16</v>
      </c>
      <c r="T212" s="46"/>
      <c r="U212" s="46"/>
      <c r="V212" s="46"/>
      <c r="W212" s="47"/>
      <c r="X212" s="47"/>
      <c r="Y212" s="47"/>
      <c r="Z212" s="47"/>
      <c r="AA212" s="47"/>
      <c r="AB212" s="47"/>
    </row>
    <row r="213" spans="1:28" ht="15" customHeight="1" x14ac:dyDescent="0.25">
      <c r="A213" s="35" t="s">
        <v>277</v>
      </c>
      <c r="B213" s="42">
        <v>50</v>
      </c>
      <c r="C213" s="42">
        <v>264</v>
      </c>
      <c r="D213" s="42">
        <v>324</v>
      </c>
      <c r="E213" s="42">
        <v>103</v>
      </c>
      <c r="F213" s="42">
        <v>178</v>
      </c>
      <c r="G213" s="42">
        <v>64</v>
      </c>
      <c r="H213" s="42">
        <v>127</v>
      </c>
      <c r="I213" s="42">
        <v>99</v>
      </c>
      <c r="J213" s="42">
        <v>170</v>
      </c>
      <c r="K213" s="42">
        <v>1306</v>
      </c>
      <c r="L213" s="42">
        <v>5455</v>
      </c>
      <c r="M213" s="42">
        <v>6813</v>
      </c>
      <c r="N213" s="42">
        <v>2676</v>
      </c>
      <c r="O213" s="42">
        <v>5148</v>
      </c>
      <c r="P213" s="42">
        <v>1869</v>
      </c>
      <c r="Q213" s="42">
        <v>3747</v>
      </c>
      <c r="R213" s="42">
        <v>2081</v>
      </c>
      <c r="S213" s="42">
        <v>4910</v>
      </c>
      <c r="T213" s="43">
        <v>38.6</v>
      </c>
      <c r="U213" s="43">
        <v>48.4</v>
      </c>
      <c r="V213" s="43">
        <v>47.5</v>
      </c>
      <c r="W213" s="44">
        <v>38.299999999999997</v>
      </c>
      <c r="X213" s="44">
        <v>34.6</v>
      </c>
      <c r="Y213" s="44">
        <v>34.299999999999997</v>
      </c>
      <c r="Z213" s="44">
        <v>33.9</v>
      </c>
      <c r="AA213" s="44">
        <v>47.7</v>
      </c>
      <c r="AB213" s="44">
        <v>34.6</v>
      </c>
    </row>
    <row r="214" spans="1:28" ht="15" customHeight="1" x14ac:dyDescent="0.25">
      <c r="A214" s="35" t="s">
        <v>278</v>
      </c>
      <c r="B214" s="42" t="s">
        <v>28</v>
      </c>
      <c r="C214" s="42">
        <v>38</v>
      </c>
      <c r="D214" s="42">
        <v>56</v>
      </c>
      <c r="E214" s="42">
        <v>12</v>
      </c>
      <c r="F214" s="42">
        <v>25</v>
      </c>
      <c r="G214" s="42">
        <v>4</v>
      </c>
      <c r="H214" s="42">
        <v>24</v>
      </c>
      <c r="I214" s="42">
        <v>18</v>
      </c>
      <c r="J214" s="42">
        <v>51</v>
      </c>
      <c r="K214" s="42" t="s">
        <v>28</v>
      </c>
      <c r="L214" s="42">
        <v>1343</v>
      </c>
      <c r="M214" s="42">
        <v>1502</v>
      </c>
      <c r="N214" s="42">
        <v>552</v>
      </c>
      <c r="O214" s="42">
        <v>1282</v>
      </c>
      <c r="P214" s="42">
        <v>300</v>
      </c>
      <c r="Q214" s="42">
        <v>993</v>
      </c>
      <c r="R214" s="42">
        <v>553</v>
      </c>
      <c r="S214" s="42">
        <v>1355</v>
      </c>
      <c r="T214" s="43" t="s">
        <v>28</v>
      </c>
      <c r="U214" s="43">
        <v>28.4</v>
      </c>
      <c r="V214" s="43">
        <v>37.200000000000003</v>
      </c>
      <c r="W214" s="44">
        <v>20.9</v>
      </c>
      <c r="X214" s="44">
        <v>19.7</v>
      </c>
      <c r="Y214" s="44">
        <v>13.4</v>
      </c>
      <c r="Z214" s="44">
        <v>24.2</v>
      </c>
      <c r="AA214" s="44">
        <v>32.5</v>
      </c>
      <c r="AB214" s="44">
        <v>37.6</v>
      </c>
    </row>
    <row r="215" spans="1:28" ht="27.95" customHeight="1" x14ac:dyDescent="0.25">
      <c r="A215" s="41" t="s">
        <v>279</v>
      </c>
      <c r="B215" s="42">
        <v>34</v>
      </c>
      <c r="C215" s="42">
        <v>74</v>
      </c>
      <c r="D215" s="42">
        <v>98</v>
      </c>
      <c r="E215" s="42">
        <v>28</v>
      </c>
      <c r="F215" s="42">
        <v>85</v>
      </c>
      <c r="G215" s="42">
        <v>32</v>
      </c>
      <c r="H215" s="42">
        <v>47</v>
      </c>
      <c r="I215" s="42">
        <v>35</v>
      </c>
      <c r="J215" s="42">
        <v>92</v>
      </c>
      <c r="K215" s="42">
        <v>539</v>
      </c>
      <c r="L215" s="42">
        <v>1919</v>
      </c>
      <c r="M215" s="42">
        <v>2311</v>
      </c>
      <c r="N215" s="42">
        <v>863</v>
      </c>
      <c r="O215" s="42">
        <v>3082</v>
      </c>
      <c r="P215" s="42">
        <v>1161</v>
      </c>
      <c r="Q215" s="42">
        <v>1548</v>
      </c>
      <c r="R215" s="42">
        <v>994</v>
      </c>
      <c r="S215" s="42">
        <v>2387</v>
      </c>
      <c r="T215" s="43">
        <v>63</v>
      </c>
      <c r="U215" s="43">
        <v>38.799999999999997</v>
      </c>
      <c r="V215" s="43">
        <v>42.5</v>
      </c>
      <c r="W215" s="44">
        <v>32.6</v>
      </c>
      <c r="X215" s="44">
        <v>27.5</v>
      </c>
      <c r="Y215" s="44">
        <v>27.5</v>
      </c>
      <c r="Z215" s="44">
        <v>30.2</v>
      </c>
      <c r="AA215" s="44">
        <v>35.299999999999997</v>
      </c>
      <c r="AB215" s="44">
        <v>38.700000000000003</v>
      </c>
    </row>
    <row r="216" spans="1:28" ht="45.95" customHeight="1" x14ac:dyDescent="0.25">
      <c r="A216" s="40" t="s">
        <v>317</v>
      </c>
      <c r="B216" s="32" t="s">
        <v>16</v>
      </c>
      <c r="C216" s="32" t="s">
        <v>16</v>
      </c>
      <c r="D216" s="32" t="s">
        <v>16</v>
      </c>
      <c r="E216" s="32" t="s">
        <v>16</v>
      </c>
      <c r="F216" s="32" t="s">
        <v>16</v>
      </c>
      <c r="G216" s="32" t="s">
        <v>16</v>
      </c>
      <c r="H216" s="32" t="s">
        <v>16</v>
      </c>
      <c r="I216" s="32" t="s">
        <v>16</v>
      </c>
      <c r="J216" s="32" t="s">
        <v>16</v>
      </c>
      <c r="K216" s="32" t="s">
        <v>16</v>
      </c>
      <c r="L216" s="32" t="s">
        <v>16</v>
      </c>
      <c r="M216" s="32" t="s">
        <v>16</v>
      </c>
      <c r="N216" s="32" t="s">
        <v>16</v>
      </c>
      <c r="O216" s="32" t="s">
        <v>16</v>
      </c>
      <c r="P216" s="32" t="s">
        <v>16</v>
      </c>
      <c r="Q216" s="32" t="s">
        <v>16</v>
      </c>
      <c r="R216" s="32" t="s">
        <v>16</v>
      </c>
      <c r="S216" s="32" t="s">
        <v>16</v>
      </c>
      <c r="T216" s="33"/>
      <c r="U216" s="33"/>
      <c r="V216" s="33"/>
      <c r="W216" s="34"/>
      <c r="X216" s="34"/>
      <c r="Y216" s="34"/>
      <c r="Z216" s="34"/>
      <c r="AA216" s="34"/>
      <c r="AB216" s="34"/>
    </row>
    <row r="217" spans="1:28" ht="15" customHeight="1" x14ac:dyDescent="0.25">
      <c r="A217" s="35" t="s">
        <v>318</v>
      </c>
      <c r="B217" s="42" t="s">
        <v>28</v>
      </c>
      <c r="C217" s="42">
        <v>64</v>
      </c>
      <c r="D217" s="42">
        <v>72</v>
      </c>
      <c r="E217" s="42">
        <v>19</v>
      </c>
      <c r="F217" s="42">
        <v>52</v>
      </c>
      <c r="G217" s="42">
        <v>13</v>
      </c>
      <c r="H217" s="42">
        <v>28</v>
      </c>
      <c r="I217" s="42" t="s">
        <v>28</v>
      </c>
      <c r="J217" s="42">
        <v>45</v>
      </c>
      <c r="K217" s="42" t="s">
        <v>28</v>
      </c>
      <c r="L217" s="42">
        <v>1354</v>
      </c>
      <c r="M217" s="42">
        <v>1452</v>
      </c>
      <c r="N217" s="42">
        <v>498</v>
      </c>
      <c r="O217" s="42">
        <v>1735</v>
      </c>
      <c r="P217" s="42">
        <v>277</v>
      </c>
      <c r="Q217" s="42">
        <v>713</v>
      </c>
      <c r="R217" s="42">
        <v>679</v>
      </c>
      <c r="S217" s="42">
        <v>1048</v>
      </c>
      <c r="T217" s="43" t="s">
        <v>28</v>
      </c>
      <c r="U217" s="43">
        <v>47.6</v>
      </c>
      <c r="V217" s="43">
        <v>49.3</v>
      </c>
      <c r="W217" s="44">
        <v>37.9</v>
      </c>
      <c r="X217" s="44">
        <v>30.1</v>
      </c>
      <c r="Y217" s="44">
        <v>47.1</v>
      </c>
      <c r="Z217" s="44">
        <v>39.5</v>
      </c>
      <c r="AA217" s="44">
        <v>72.2</v>
      </c>
      <c r="AB217" s="44">
        <v>43.4</v>
      </c>
    </row>
    <row r="218" spans="1:28" ht="15" customHeight="1" x14ac:dyDescent="0.25">
      <c r="A218" s="41" t="s">
        <v>319</v>
      </c>
      <c r="B218" s="42" t="s">
        <v>28</v>
      </c>
      <c r="C218" s="42">
        <v>57</v>
      </c>
      <c r="D218" s="42">
        <v>59</v>
      </c>
      <c r="E218" s="42">
        <v>20</v>
      </c>
      <c r="F218" s="42">
        <v>62</v>
      </c>
      <c r="G218" s="42">
        <v>16</v>
      </c>
      <c r="H218" s="42">
        <v>34</v>
      </c>
      <c r="I218" s="42" t="s">
        <v>28</v>
      </c>
      <c r="J218" s="42">
        <v>58</v>
      </c>
      <c r="K218" s="42" t="s">
        <v>28</v>
      </c>
      <c r="L218" s="42">
        <v>1263</v>
      </c>
      <c r="M218" s="42">
        <v>1154</v>
      </c>
      <c r="N218" s="42">
        <v>394</v>
      </c>
      <c r="O218" s="42">
        <v>1733</v>
      </c>
      <c r="P218" s="42">
        <v>520</v>
      </c>
      <c r="Q218" s="42">
        <v>720</v>
      </c>
      <c r="R218" s="42">
        <v>794</v>
      </c>
      <c r="S218" s="42">
        <v>1505</v>
      </c>
      <c r="T218" s="43" t="s">
        <v>28</v>
      </c>
      <c r="U218" s="43">
        <v>45</v>
      </c>
      <c r="V218" s="43">
        <v>51</v>
      </c>
      <c r="W218" s="44">
        <v>51.3</v>
      </c>
      <c r="X218" s="44">
        <v>35.5</v>
      </c>
      <c r="Y218" s="44">
        <v>30.9</v>
      </c>
      <c r="Z218" s="44">
        <v>47.3</v>
      </c>
      <c r="AA218" s="44" t="s">
        <v>28</v>
      </c>
      <c r="AB218" s="44">
        <v>38.5</v>
      </c>
    </row>
    <row r="219" spans="1:28" ht="15" customHeight="1" x14ac:dyDescent="0.25">
      <c r="A219" s="41" t="s">
        <v>320</v>
      </c>
      <c r="B219" s="42">
        <v>27</v>
      </c>
      <c r="C219" s="42">
        <v>121</v>
      </c>
      <c r="D219" s="42">
        <v>107</v>
      </c>
      <c r="E219" s="42">
        <v>36</v>
      </c>
      <c r="F219" s="42">
        <v>81</v>
      </c>
      <c r="G219" s="42">
        <v>29</v>
      </c>
      <c r="H219" s="42">
        <v>48</v>
      </c>
      <c r="I219" s="42" t="s">
        <v>28</v>
      </c>
      <c r="J219" s="42">
        <v>71</v>
      </c>
      <c r="K219" s="42">
        <v>535</v>
      </c>
      <c r="L219" s="42">
        <v>2458</v>
      </c>
      <c r="M219" s="42">
        <v>2336</v>
      </c>
      <c r="N219" s="42">
        <v>781</v>
      </c>
      <c r="O219" s="42">
        <v>2799</v>
      </c>
      <c r="P219" s="42">
        <v>591</v>
      </c>
      <c r="Q219" s="42">
        <v>1545</v>
      </c>
      <c r="R219" s="42">
        <v>785</v>
      </c>
      <c r="S219" s="42">
        <v>1213</v>
      </c>
      <c r="T219" s="43">
        <v>50.1</v>
      </c>
      <c r="U219" s="43">
        <v>49.4</v>
      </c>
      <c r="V219" s="43">
        <v>45.7</v>
      </c>
      <c r="W219" s="44">
        <v>46.5</v>
      </c>
      <c r="X219" s="44">
        <v>29</v>
      </c>
      <c r="Y219" s="44">
        <v>49.5</v>
      </c>
      <c r="Z219" s="44">
        <v>30.9</v>
      </c>
      <c r="AA219" s="44">
        <v>66.599999999999994</v>
      </c>
      <c r="AB219" s="44">
        <v>58.4</v>
      </c>
    </row>
    <row r="220" spans="1:28" ht="27.95" customHeight="1" x14ac:dyDescent="0.25">
      <c r="A220" s="41" t="s">
        <v>321</v>
      </c>
      <c r="B220" s="42">
        <v>37</v>
      </c>
      <c r="C220" s="42">
        <v>127</v>
      </c>
      <c r="D220" s="42">
        <v>140</v>
      </c>
      <c r="E220" s="42">
        <v>38</v>
      </c>
      <c r="F220" s="42">
        <v>93</v>
      </c>
      <c r="G220" s="42">
        <v>30</v>
      </c>
      <c r="H220" s="42">
        <v>46</v>
      </c>
      <c r="I220" s="42" t="s">
        <v>28</v>
      </c>
      <c r="J220" s="42">
        <v>85</v>
      </c>
      <c r="K220" s="42">
        <v>696</v>
      </c>
      <c r="L220" s="42">
        <v>2029</v>
      </c>
      <c r="M220" s="42">
        <v>2853</v>
      </c>
      <c r="N220" s="42">
        <v>803</v>
      </c>
      <c r="O220" s="42">
        <v>3095</v>
      </c>
      <c r="P220" s="42">
        <v>615</v>
      </c>
      <c r="Q220" s="42">
        <v>1392</v>
      </c>
      <c r="R220" s="42">
        <v>949</v>
      </c>
      <c r="S220" s="42">
        <v>1649</v>
      </c>
      <c r="T220" s="43">
        <v>52.9</v>
      </c>
      <c r="U220" s="43">
        <v>62.5</v>
      </c>
      <c r="V220" s="43">
        <v>49.1</v>
      </c>
      <c r="W220" s="44">
        <v>47.7</v>
      </c>
      <c r="X220" s="44">
        <v>30</v>
      </c>
      <c r="Y220" s="44">
        <v>48.7</v>
      </c>
      <c r="Z220" s="44">
        <v>33</v>
      </c>
      <c r="AA220" s="44">
        <v>64.599999999999994</v>
      </c>
      <c r="AB220" s="44">
        <v>51.3</v>
      </c>
    </row>
    <row r="221" spans="1:28" ht="15" customHeight="1" x14ac:dyDescent="0.25">
      <c r="A221" s="41" t="s">
        <v>322</v>
      </c>
      <c r="B221" s="42">
        <v>16</v>
      </c>
      <c r="C221" s="42">
        <v>79</v>
      </c>
      <c r="D221" s="42">
        <v>90</v>
      </c>
      <c r="E221" s="42">
        <v>34</v>
      </c>
      <c r="F221" s="42">
        <v>49</v>
      </c>
      <c r="G221" s="42">
        <v>21</v>
      </c>
      <c r="H221" s="42">
        <v>23</v>
      </c>
      <c r="I221" s="42" t="s">
        <v>28</v>
      </c>
      <c r="J221" s="42">
        <v>37</v>
      </c>
      <c r="K221" s="42">
        <v>368</v>
      </c>
      <c r="L221" s="42">
        <v>2062</v>
      </c>
      <c r="M221" s="42">
        <v>2120</v>
      </c>
      <c r="N221" s="42">
        <v>928</v>
      </c>
      <c r="O221" s="42">
        <v>1520</v>
      </c>
      <c r="P221" s="42">
        <v>848</v>
      </c>
      <c r="Q221" s="42">
        <v>1000</v>
      </c>
      <c r="R221" s="42">
        <v>773</v>
      </c>
      <c r="S221" s="42">
        <v>1265</v>
      </c>
      <c r="T221" s="43">
        <v>43.9</v>
      </c>
      <c r="U221" s="43">
        <v>38.299999999999997</v>
      </c>
      <c r="V221" s="43">
        <v>42.6</v>
      </c>
      <c r="W221" s="44">
        <v>36.5</v>
      </c>
      <c r="X221" s="44">
        <v>32.200000000000003</v>
      </c>
      <c r="Y221" s="44">
        <v>24.4</v>
      </c>
      <c r="Z221" s="44">
        <v>23.2</v>
      </c>
      <c r="AA221" s="44" t="s">
        <v>28</v>
      </c>
      <c r="AB221" s="44">
        <v>29.4</v>
      </c>
    </row>
    <row r="222" spans="1:28" s="49" customFormat="1" ht="33.950000000000003" customHeight="1" x14ac:dyDescent="0.25">
      <c r="A222" s="40" t="s">
        <v>327</v>
      </c>
      <c r="B222" s="45" t="s">
        <v>16</v>
      </c>
      <c r="C222" s="45" t="s">
        <v>16</v>
      </c>
      <c r="D222" s="45" t="s">
        <v>16</v>
      </c>
      <c r="E222" s="45" t="s">
        <v>16</v>
      </c>
      <c r="F222" s="45" t="s">
        <v>16</v>
      </c>
      <c r="G222" s="45" t="s">
        <v>16</v>
      </c>
      <c r="H222" s="45" t="s">
        <v>16</v>
      </c>
      <c r="I222" s="45" t="s">
        <v>16</v>
      </c>
      <c r="J222" s="45" t="s">
        <v>16</v>
      </c>
      <c r="K222" s="45" t="s">
        <v>16</v>
      </c>
      <c r="L222" s="45" t="s">
        <v>16</v>
      </c>
      <c r="M222" s="45" t="s">
        <v>16</v>
      </c>
      <c r="N222" s="45" t="s">
        <v>16</v>
      </c>
      <c r="O222" s="45" t="s">
        <v>16</v>
      </c>
      <c r="P222" s="45" t="s">
        <v>16</v>
      </c>
      <c r="Q222" s="45" t="s">
        <v>16</v>
      </c>
      <c r="R222" s="45" t="s">
        <v>16</v>
      </c>
      <c r="S222" s="45" t="s">
        <v>16</v>
      </c>
      <c r="T222" s="46"/>
      <c r="U222" s="46"/>
      <c r="V222" s="46"/>
      <c r="W222" s="47"/>
      <c r="X222" s="47"/>
      <c r="Y222" s="47"/>
      <c r="Z222" s="47"/>
      <c r="AA222" s="47"/>
      <c r="AB222" s="47"/>
    </row>
    <row r="223" spans="1:28" s="49" customFormat="1" ht="15" customHeight="1" x14ac:dyDescent="0.25">
      <c r="A223" s="41" t="s">
        <v>328</v>
      </c>
      <c r="B223" s="42">
        <v>52</v>
      </c>
      <c r="C223" s="42">
        <v>211</v>
      </c>
      <c r="D223" s="42">
        <v>218</v>
      </c>
      <c r="E223" s="42">
        <v>72</v>
      </c>
      <c r="F223" s="42">
        <v>99</v>
      </c>
      <c r="G223" s="42">
        <v>32</v>
      </c>
      <c r="H223" s="42">
        <v>66</v>
      </c>
      <c r="I223" s="42">
        <v>84</v>
      </c>
      <c r="J223" s="42">
        <v>157</v>
      </c>
      <c r="K223" s="42">
        <v>1032</v>
      </c>
      <c r="L223" s="42">
        <v>4618</v>
      </c>
      <c r="M223" s="42">
        <v>4910</v>
      </c>
      <c r="N223" s="42">
        <v>1921</v>
      </c>
      <c r="O223" s="42">
        <v>3549</v>
      </c>
      <c r="P223" s="42">
        <v>779</v>
      </c>
      <c r="Q223" s="42">
        <v>2057</v>
      </c>
      <c r="R223" s="42">
        <v>1796</v>
      </c>
      <c r="S223" s="42">
        <v>4022</v>
      </c>
      <c r="T223" s="43">
        <v>50.2</v>
      </c>
      <c r="U223" s="43">
        <v>45.6</v>
      </c>
      <c r="V223" s="43">
        <v>44.5</v>
      </c>
      <c r="W223" s="44">
        <v>37.299999999999997</v>
      </c>
      <c r="X223" s="44">
        <v>27.9</v>
      </c>
      <c r="Y223" s="44">
        <v>41.4</v>
      </c>
      <c r="Z223" s="44">
        <v>32.200000000000003</v>
      </c>
      <c r="AA223" s="44">
        <v>46.7</v>
      </c>
      <c r="AB223" s="44">
        <v>39</v>
      </c>
    </row>
    <row r="224" spans="1:28" s="49" customFormat="1" ht="15" customHeight="1" x14ac:dyDescent="0.25">
      <c r="A224" s="41" t="s">
        <v>329</v>
      </c>
      <c r="B224" s="42">
        <v>101</v>
      </c>
      <c r="C224" s="42">
        <v>341</v>
      </c>
      <c r="D224" s="42">
        <v>439</v>
      </c>
      <c r="E224" s="42">
        <v>122</v>
      </c>
      <c r="F224" s="42">
        <v>261</v>
      </c>
      <c r="G224" s="42">
        <v>81</v>
      </c>
      <c r="H224" s="42">
        <v>172</v>
      </c>
      <c r="I224" s="42">
        <v>141</v>
      </c>
      <c r="J224" s="42">
        <v>285</v>
      </c>
      <c r="K224" s="42">
        <v>2003</v>
      </c>
      <c r="L224" s="42">
        <v>7844</v>
      </c>
      <c r="M224" s="42">
        <v>9446</v>
      </c>
      <c r="N224" s="42">
        <v>3472</v>
      </c>
      <c r="O224" s="42">
        <v>8810</v>
      </c>
      <c r="P224" s="42">
        <v>2579</v>
      </c>
      <c r="Q224" s="42">
        <v>5446</v>
      </c>
      <c r="R224" s="42">
        <v>3290</v>
      </c>
      <c r="S224" s="42">
        <v>7801</v>
      </c>
      <c r="T224" s="43">
        <v>50.5</v>
      </c>
      <c r="U224" s="43">
        <v>43.4</v>
      </c>
      <c r="V224" s="43">
        <v>46.4</v>
      </c>
      <c r="W224" s="44">
        <v>35.299999999999997</v>
      </c>
      <c r="X224" s="44">
        <v>29.6</v>
      </c>
      <c r="Y224" s="44">
        <v>31.3</v>
      </c>
      <c r="Z224" s="44">
        <v>31.6</v>
      </c>
      <c r="AA224" s="44">
        <v>42.8</v>
      </c>
      <c r="AB224" s="44">
        <v>36.5</v>
      </c>
    </row>
    <row r="225" spans="1:28" s="49" customFormat="1" ht="15" customHeight="1" x14ac:dyDescent="0.25">
      <c r="A225" s="41" t="s">
        <v>330</v>
      </c>
      <c r="B225" s="42">
        <v>62</v>
      </c>
      <c r="C225" s="42">
        <v>184</v>
      </c>
      <c r="D225" s="42">
        <v>216</v>
      </c>
      <c r="E225" s="42">
        <v>69</v>
      </c>
      <c r="F225" s="42">
        <v>134</v>
      </c>
      <c r="G225" s="42">
        <v>39</v>
      </c>
      <c r="H225" s="42">
        <v>101</v>
      </c>
      <c r="I225" s="42">
        <v>84</v>
      </c>
      <c r="J225" s="42">
        <v>184</v>
      </c>
      <c r="K225" s="42">
        <v>1208</v>
      </c>
      <c r="L225" s="42">
        <v>4277</v>
      </c>
      <c r="M225" s="42">
        <v>4817</v>
      </c>
      <c r="N225" s="42">
        <v>1750</v>
      </c>
      <c r="O225" s="42">
        <v>5137</v>
      </c>
      <c r="P225" s="42">
        <v>1497</v>
      </c>
      <c r="Q225" s="42">
        <v>3030</v>
      </c>
      <c r="R225" s="42">
        <v>1876</v>
      </c>
      <c r="S225" s="42">
        <v>4229</v>
      </c>
      <c r="T225" s="43">
        <v>51.2</v>
      </c>
      <c r="U225" s="43">
        <v>43</v>
      </c>
      <c r="V225" s="43">
        <v>44.8</v>
      </c>
      <c r="W225" s="44">
        <v>39.5</v>
      </c>
      <c r="X225" s="44">
        <v>26.1</v>
      </c>
      <c r="Y225" s="44">
        <v>26.4</v>
      </c>
      <c r="Z225" s="44">
        <v>33.4</v>
      </c>
      <c r="AA225" s="44">
        <v>44.8</v>
      </c>
      <c r="AB225" s="44">
        <v>43.5</v>
      </c>
    </row>
    <row r="226" spans="1:28" s="49" customFormat="1" ht="45.95" customHeight="1" x14ac:dyDescent="0.25">
      <c r="A226" s="40" t="s">
        <v>331</v>
      </c>
      <c r="B226" s="45" t="s">
        <v>16</v>
      </c>
      <c r="C226" s="45" t="s">
        <v>16</v>
      </c>
      <c r="D226" s="45" t="s">
        <v>16</v>
      </c>
      <c r="E226" s="45" t="s">
        <v>16</v>
      </c>
      <c r="F226" s="45" t="s">
        <v>16</v>
      </c>
      <c r="G226" s="45" t="s">
        <v>16</v>
      </c>
      <c r="H226" s="45" t="s">
        <v>16</v>
      </c>
      <c r="I226" s="45" t="s">
        <v>16</v>
      </c>
      <c r="J226" s="45" t="s">
        <v>16</v>
      </c>
      <c r="K226" s="45" t="s">
        <v>16</v>
      </c>
      <c r="L226" s="45" t="s">
        <v>16</v>
      </c>
      <c r="M226" s="45" t="s">
        <v>16</v>
      </c>
      <c r="N226" s="45" t="s">
        <v>16</v>
      </c>
      <c r="O226" s="45" t="s">
        <v>16</v>
      </c>
      <c r="P226" s="45" t="s">
        <v>16</v>
      </c>
      <c r="Q226" s="45" t="s">
        <v>16</v>
      </c>
      <c r="R226" s="45" t="s">
        <v>16</v>
      </c>
      <c r="S226" s="45" t="s">
        <v>16</v>
      </c>
      <c r="T226" s="46"/>
      <c r="U226" s="46"/>
      <c r="V226" s="46"/>
      <c r="W226" s="47"/>
      <c r="X226" s="47"/>
      <c r="Y226" s="47"/>
      <c r="Z226" s="47"/>
      <c r="AA226" s="47"/>
      <c r="AB226" s="47"/>
    </row>
    <row r="227" spans="1:28" s="49" customFormat="1" ht="15" customHeight="1" x14ac:dyDescent="0.25">
      <c r="A227" s="35" t="s">
        <v>332</v>
      </c>
      <c r="B227" s="42">
        <v>98</v>
      </c>
      <c r="C227" s="42">
        <v>281</v>
      </c>
      <c r="D227" s="42">
        <v>407</v>
      </c>
      <c r="E227" s="42">
        <v>130</v>
      </c>
      <c r="F227" s="42">
        <v>232</v>
      </c>
      <c r="G227" s="42">
        <v>77</v>
      </c>
      <c r="H227" s="42">
        <v>137</v>
      </c>
      <c r="I227" s="42">
        <v>130</v>
      </c>
      <c r="J227" s="42">
        <v>217</v>
      </c>
      <c r="K227" s="42">
        <v>1955</v>
      </c>
      <c r="L227" s="42">
        <v>6509</v>
      </c>
      <c r="M227" s="42">
        <v>8803</v>
      </c>
      <c r="N227" s="42">
        <v>3761</v>
      </c>
      <c r="O227" s="42">
        <v>7939</v>
      </c>
      <c r="P227" s="42">
        <v>2479</v>
      </c>
      <c r="Q227" s="42">
        <v>4107</v>
      </c>
      <c r="R227" s="42">
        <v>2965</v>
      </c>
      <c r="S227" s="42">
        <v>5255</v>
      </c>
      <c r="T227" s="43">
        <v>50.3</v>
      </c>
      <c r="U227" s="43">
        <v>43.2</v>
      </c>
      <c r="V227" s="43">
        <v>46.2</v>
      </c>
      <c r="W227" s="44">
        <v>34.5</v>
      </c>
      <c r="X227" s="44">
        <v>29.2</v>
      </c>
      <c r="Y227" s="44">
        <v>30.9</v>
      </c>
      <c r="Z227" s="44">
        <v>33.299999999999997</v>
      </c>
      <c r="AA227" s="44">
        <v>43.9</v>
      </c>
      <c r="AB227" s="44">
        <v>41.3</v>
      </c>
    </row>
    <row r="228" spans="1:28" s="49" customFormat="1" ht="15" customHeight="1" x14ac:dyDescent="0.25">
      <c r="A228" s="35" t="s">
        <v>333</v>
      </c>
      <c r="B228" s="42">
        <v>47</v>
      </c>
      <c r="C228" s="42">
        <v>205</v>
      </c>
      <c r="D228" s="42">
        <v>252</v>
      </c>
      <c r="E228" s="42">
        <v>79</v>
      </c>
      <c r="F228" s="42">
        <v>182</v>
      </c>
      <c r="G228" s="42">
        <v>62</v>
      </c>
      <c r="H228" s="42">
        <v>131</v>
      </c>
      <c r="I228" s="42">
        <v>97</v>
      </c>
      <c r="J228" s="42">
        <v>204</v>
      </c>
      <c r="K228" s="42">
        <v>1076</v>
      </c>
      <c r="L228" s="42">
        <v>4109</v>
      </c>
      <c r="M228" s="42">
        <v>5434</v>
      </c>
      <c r="N228" s="42">
        <v>2099</v>
      </c>
      <c r="O228" s="42">
        <v>6128</v>
      </c>
      <c r="P228" s="42">
        <v>1860</v>
      </c>
      <c r="Q228" s="42">
        <v>4067</v>
      </c>
      <c r="R228" s="42">
        <v>2080</v>
      </c>
      <c r="S228" s="42">
        <v>5778</v>
      </c>
      <c r="T228" s="43">
        <v>43.5</v>
      </c>
      <c r="U228" s="43">
        <v>50</v>
      </c>
      <c r="V228" s="43">
        <v>46.4</v>
      </c>
      <c r="W228" s="44">
        <v>37.6</v>
      </c>
      <c r="X228" s="44">
        <v>29.7</v>
      </c>
      <c r="Y228" s="44">
        <v>33.6</v>
      </c>
      <c r="Z228" s="44">
        <v>32.1</v>
      </c>
      <c r="AA228" s="44">
        <v>46.7</v>
      </c>
      <c r="AB228" s="44">
        <v>35.200000000000003</v>
      </c>
    </row>
    <row r="229" spans="1:28" s="49" customFormat="1" ht="15" customHeight="1" x14ac:dyDescent="0.25">
      <c r="A229" s="35" t="s">
        <v>334</v>
      </c>
      <c r="B229" s="42">
        <v>12</v>
      </c>
      <c r="C229" s="42">
        <v>83</v>
      </c>
      <c r="D229" s="42">
        <v>111</v>
      </c>
      <c r="E229" s="42">
        <v>35</v>
      </c>
      <c r="F229" s="42">
        <v>69</v>
      </c>
      <c r="G229" s="42">
        <v>22</v>
      </c>
      <c r="H229" s="42">
        <v>32</v>
      </c>
      <c r="I229" s="42" t="s">
        <v>28</v>
      </c>
      <c r="J229" s="42">
        <v>103</v>
      </c>
      <c r="K229" s="42">
        <v>302</v>
      </c>
      <c r="L229" s="42">
        <v>1510</v>
      </c>
      <c r="M229" s="42">
        <v>2465</v>
      </c>
      <c r="N229" s="42">
        <v>913</v>
      </c>
      <c r="O229" s="42">
        <v>1879</v>
      </c>
      <c r="P229" s="42">
        <v>606</v>
      </c>
      <c r="Q229" s="42">
        <v>1055</v>
      </c>
      <c r="R229" s="42">
        <v>992</v>
      </c>
      <c r="S229" s="42">
        <v>2328</v>
      </c>
      <c r="T229" s="43">
        <v>40.5</v>
      </c>
      <c r="U229" s="43">
        <v>55</v>
      </c>
      <c r="V229" s="43">
        <v>45.1</v>
      </c>
      <c r="W229" s="44">
        <v>38.799999999999997</v>
      </c>
      <c r="X229" s="44">
        <v>36.6</v>
      </c>
      <c r="Y229" s="44">
        <v>37</v>
      </c>
      <c r="Z229" s="44">
        <v>30.3</v>
      </c>
      <c r="AA229" s="44">
        <v>60.5</v>
      </c>
      <c r="AB229" s="44">
        <v>44.1</v>
      </c>
    </row>
    <row r="230" spans="1:28" s="49" customFormat="1" ht="15" customHeight="1" x14ac:dyDescent="0.25">
      <c r="A230" s="41" t="s">
        <v>335</v>
      </c>
      <c r="B230" s="42">
        <v>28</v>
      </c>
      <c r="C230" s="42">
        <v>162</v>
      </c>
      <c r="D230" s="42">
        <v>200</v>
      </c>
      <c r="E230" s="42">
        <v>60</v>
      </c>
      <c r="F230" s="42">
        <v>158</v>
      </c>
      <c r="G230" s="42">
        <v>46</v>
      </c>
      <c r="H230" s="42">
        <v>88</v>
      </c>
      <c r="I230" s="42">
        <v>91</v>
      </c>
      <c r="J230" s="42">
        <v>171</v>
      </c>
      <c r="K230" s="42">
        <v>721</v>
      </c>
      <c r="L230" s="42">
        <v>2704</v>
      </c>
      <c r="M230" s="42">
        <v>3833</v>
      </c>
      <c r="N230" s="42">
        <v>1745</v>
      </c>
      <c r="O230" s="42">
        <v>4489</v>
      </c>
      <c r="P230" s="42">
        <v>1381</v>
      </c>
      <c r="Q230" s="42">
        <v>2528</v>
      </c>
      <c r="R230" s="42">
        <v>1830</v>
      </c>
      <c r="S230" s="42">
        <v>3988</v>
      </c>
      <c r="T230" s="43">
        <v>39.299999999999997</v>
      </c>
      <c r="U230" s="43">
        <v>60</v>
      </c>
      <c r="V230" s="43">
        <v>52.3</v>
      </c>
      <c r="W230" s="44">
        <v>34.5</v>
      </c>
      <c r="X230" s="44">
        <v>35.1</v>
      </c>
      <c r="Y230" s="44">
        <v>33.5</v>
      </c>
      <c r="Z230" s="44">
        <v>34.9</v>
      </c>
      <c r="AA230" s="44">
        <v>49.5</v>
      </c>
      <c r="AB230" s="44">
        <v>43</v>
      </c>
    </row>
    <row r="231" spans="1:28" s="49" customFormat="1" ht="15" customHeight="1" x14ac:dyDescent="0.25">
      <c r="A231" s="41" t="s">
        <v>336</v>
      </c>
      <c r="B231" s="42">
        <v>41</v>
      </c>
      <c r="C231" s="42">
        <v>123</v>
      </c>
      <c r="D231" s="42">
        <v>112</v>
      </c>
      <c r="E231" s="42">
        <v>31</v>
      </c>
      <c r="F231" s="42">
        <v>83</v>
      </c>
      <c r="G231" s="42">
        <v>25</v>
      </c>
      <c r="H231" s="42">
        <v>55</v>
      </c>
      <c r="I231" s="42" t="s">
        <v>28</v>
      </c>
      <c r="J231" s="42">
        <v>127</v>
      </c>
      <c r="K231" s="42">
        <v>1006</v>
      </c>
      <c r="L231" s="42">
        <v>2292</v>
      </c>
      <c r="M231" s="42">
        <v>2534</v>
      </c>
      <c r="N231" s="42">
        <v>1081</v>
      </c>
      <c r="O231" s="42">
        <v>3049</v>
      </c>
      <c r="P231" s="42">
        <v>729</v>
      </c>
      <c r="Q231" s="42">
        <v>1487</v>
      </c>
      <c r="R231" s="42">
        <v>1261</v>
      </c>
      <c r="S231" s="42">
        <v>3305</v>
      </c>
      <c r="T231" s="43">
        <v>40.9</v>
      </c>
      <c r="U231" s="43">
        <v>53.5</v>
      </c>
      <c r="V231" s="43">
        <v>44.4</v>
      </c>
      <c r="W231" s="44">
        <v>28.5</v>
      </c>
      <c r="X231" s="44">
        <v>27.2</v>
      </c>
      <c r="Y231" s="44">
        <v>33.9</v>
      </c>
      <c r="Z231" s="44">
        <v>37.200000000000003</v>
      </c>
      <c r="AA231" s="44">
        <v>53.4</v>
      </c>
      <c r="AB231" s="44">
        <v>38.299999999999997</v>
      </c>
    </row>
    <row r="232" spans="1:28" s="49" customFormat="1" ht="15" customHeight="1" x14ac:dyDescent="0.25">
      <c r="A232" s="41" t="s">
        <v>337</v>
      </c>
      <c r="B232" s="42">
        <v>59</v>
      </c>
      <c r="C232" s="42">
        <v>154</v>
      </c>
      <c r="D232" s="42">
        <v>206</v>
      </c>
      <c r="E232" s="42">
        <v>45</v>
      </c>
      <c r="F232" s="42">
        <v>107</v>
      </c>
      <c r="G232" s="42">
        <v>28</v>
      </c>
      <c r="H232" s="42">
        <v>80</v>
      </c>
      <c r="I232" s="42">
        <v>73</v>
      </c>
      <c r="J232" s="42">
        <v>155</v>
      </c>
      <c r="K232" s="42">
        <v>1019</v>
      </c>
      <c r="L232" s="42">
        <v>3766</v>
      </c>
      <c r="M232" s="42">
        <v>4570</v>
      </c>
      <c r="N232" s="42">
        <v>1196</v>
      </c>
      <c r="O232" s="42">
        <v>3740</v>
      </c>
      <c r="P232" s="42">
        <v>981</v>
      </c>
      <c r="Q232" s="42">
        <v>2155</v>
      </c>
      <c r="R232" s="42">
        <v>1354</v>
      </c>
      <c r="S232" s="42">
        <v>4330</v>
      </c>
      <c r="T232" s="43">
        <v>57.4</v>
      </c>
      <c r="U232" s="43">
        <v>40.9</v>
      </c>
      <c r="V232" s="43">
        <v>45</v>
      </c>
      <c r="W232" s="44">
        <v>37.700000000000003</v>
      </c>
      <c r="X232" s="44">
        <v>28.5</v>
      </c>
      <c r="Y232" s="44">
        <v>28.6</v>
      </c>
      <c r="Z232" s="44">
        <v>36.9</v>
      </c>
      <c r="AA232" s="44">
        <v>53.7</v>
      </c>
      <c r="AB232" s="44">
        <v>35.700000000000003</v>
      </c>
    </row>
    <row r="233" spans="1:28" s="49" customFormat="1" ht="15" customHeight="1" x14ac:dyDescent="0.25">
      <c r="A233" s="35" t="s">
        <v>338</v>
      </c>
      <c r="B233" s="42">
        <v>82</v>
      </c>
      <c r="C233" s="42">
        <v>189</v>
      </c>
      <c r="D233" s="42">
        <v>231</v>
      </c>
      <c r="E233" s="42">
        <v>56</v>
      </c>
      <c r="F233" s="42">
        <v>126</v>
      </c>
      <c r="G233" s="42">
        <v>30</v>
      </c>
      <c r="H233" s="42">
        <v>74</v>
      </c>
      <c r="I233" s="42" t="s">
        <v>28</v>
      </c>
      <c r="J233" s="42">
        <v>174</v>
      </c>
      <c r="K233" s="42">
        <v>1474</v>
      </c>
      <c r="L233" s="42">
        <v>4532</v>
      </c>
      <c r="M233" s="42">
        <v>5106</v>
      </c>
      <c r="N233" s="42">
        <v>1540</v>
      </c>
      <c r="O233" s="42">
        <v>4604</v>
      </c>
      <c r="P233" s="42">
        <v>1036</v>
      </c>
      <c r="Q233" s="42">
        <v>2349</v>
      </c>
      <c r="R233" s="42">
        <v>1622</v>
      </c>
      <c r="S233" s="42">
        <v>4710</v>
      </c>
      <c r="T233" s="43">
        <v>55.7</v>
      </c>
      <c r="U233" s="43">
        <v>41.8</v>
      </c>
      <c r="V233" s="43">
        <v>45.2</v>
      </c>
      <c r="W233" s="44">
        <v>36.5</v>
      </c>
      <c r="X233" s="44">
        <v>27.4</v>
      </c>
      <c r="Y233" s="44">
        <v>29.1</v>
      </c>
      <c r="Z233" s="44">
        <v>31.3</v>
      </c>
      <c r="AA233" s="44">
        <v>48.3</v>
      </c>
      <c r="AB233" s="44">
        <v>37</v>
      </c>
    </row>
    <row r="234" spans="1:28" s="49" customFormat="1" ht="15" customHeight="1" x14ac:dyDescent="0.25">
      <c r="A234" s="35" t="s">
        <v>339</v>
      </c>
      <c r="B234" s="42">
        <v>25</v>
      </c>
      <c r="C234" s="42">
        <v>73</v>
      </c>
      <c r="D234" s="42">
        <v>106</v>
      </c>
      <c r="E234" s="42">
        <v>28</v>
      </c>
      <c r="F234" s="42">
        <v>93</v>
      </c>
      <c r="G234" s="42">
        <v>26</v>
      </c>
      <c r="H234" s="42">
        <v>30</v>
      </c>
      <c r="I234" s="42" t="s">
        <v>28</v>
      </c>
      <c r="J234" s="42">
        <v>118</v>
      </c>
      <c r="K234" s="42">
        <v>474</v>
      </c>
      <c r="L234" s="42">
        <v>1493</v>
      </c>
      <c r="M234" s="42">
        <v>1972</v>
      </c>
      <c r="N234" s="42">
        <v>635</v>
      </c>
      <c r="O234" s="42">
        <v>2385</v>
      </c>
      <c r="P234" s="42">
        <v>701</v>
      </c>
      <c r="Q234" s="42">
        <v>838</v>
      </c>
      <c r="R234" s="42">
        <v>1073</v>
      </c>
      <c r="S234" s="42">
        <v>2132</v>
      </c>
      <c r="T234" s="43">
        <v>52.3</v>
      </c>
      <c r="U234" s="43">
        <v>48.6</v>
      </c>
      <c r="V234" s="43">
        <v>53.6</v>
      </c>
      <c r="W234" s="44">
        <v>44</v>
      </c>
      <c r="X234" s="44">
        <v>39.200000000000003</v>
      </c>
      <c r="Y234" s="44">
        <v>37.200000000000003</v>
      </c>
      <c r="Z234" s="44">
        <v>35.9</v>
      </c>
      <c r="AA234" s="44">
        <v>56.6</v>
      </c>
      <c r="AB234" s="44">
        <v>55.4</v>
      </c>
    </row>
    <row r="235" spans="1:28" s="49" customFormat="1" ht="15" customHeight="1" x14ac:dyDescent="0.25">
      <c r="A235" s="41" t="s">
        <v>340</v>
      </c>
      <c r="B235" s="42" t="s">
        <v>28</v>
      </c>
      <c r="C235" s="42">
        <v>38</v>
      </c>
      <c r="D235" s="42">
        <v>38</v>
      </c>
      <c r="E235" s="42">
        <v>10</v>
      </c>
      <c r="F235" s="42">
        <v>22</v>
      </c>
      <c r="G235" s="42" t="s">
        <v>28</v>
      </c>
      <c r="H235" s="42">
        <v>10</v>
      </c>
      <c r="I235" s="42">
        <v>15</v>
      </c>
      <c r="J235" s="42">
        <v>41</v>
      </c>
      <c r="K235" s="42" t="s">
        <v>28</v>
      </c>
      <c r="L235" s="42">
        <v>654</v>
      </c>
      <c r="M235" s="42">
        <v>987</v>
      </c>
      <c r="N235" s="42">
        <v>323</v>
      </c>
      <c r="O235" s="42">
        <v>644</v>
      </c>
      <c r="P235" s="42" t="s">
        <v>28</v>
      </c>
      <c r="Q235" s="42">
        <v>499</v>
      </c>
      <c r="R235" s="42">
        <v>433</v>
      </c>
      <c r="S235" s="42">
        <v>935</v>
      </c>
      <c r="T235" s="43" t="s">
        <v>28</v>
      </c>
      <c r="U235" s="43">
        <v>58.3</v>
      </c>
      <c r="V235" s="43">
        <v>38.299999999999997</v>
      </c>
      <c r="W235" s="44">
        <v>29.7</v>
      </c>
      <c r="X235" s="44">
        <v>34.299999999999997</v>
      </c>
      <c r="Y235" s="44" t="s">
        <v>28</v>
      </c>
      <c r="Z235" s="44">
        <v>19.899999999999999</v>
      </c>
      <c r="AA235" s="44">
        <v>35.299999999999997</v>
      </c>
      <c r="AB235" s="44">
        <v>44.1</v>
      </c>
    </row>
    <row r="236" spans="1:28" s="49" customFormat="1" ht="15" customHeight="1" x14ac:dyDescent="0.25">
      <c r="A236" s="41" t="s">
        <v>341</v>
      </c>
      <c r="B236" s="42" t="s">
        <v>28</v>
      </c>
      <c r="C236" s="42">
        <v>22</v>
      </c>
      <c r="D236" s="42">
        <v>22</v>
      </c>
      <c r="E236" s="42">
        <v>9</v>
      </c>
      <c r="F236" s="42">
        <v>31</v>
      </c>
      <c r="G236" s="42" t="s">
        <v>28</v>
      </c>
      <c r="H236" s="42" t="s">
        <v>28</v>
      </c>
      <c r="I236" s="42" t="s">
        <v>28</v>
      </c>
      <c r="J236" s="42">
        <v>27</v>
      </c>
      <c r="K236" s="42" t="s">
        <v>28</v>
      </c>
      <c r="L236" s="42">
        <v>405</v>
      </c>
      <c r="M236" s="42">
        <v>491</v>
      </c>
      <c r="N236" s="42">
        <v>387</v>
      </c>
      <c r="O236" s="42">
        <v>882</v>
      </c>
      <c r="P236" s="42" t="s">
        <v>28</v>
      </c>
      <c r="Q236" s="42" t="s">
        <v>28</v>
      </c>
      <c r="R236" s="42" t="s">
        <v>28</v>
      </c>
      <c r="S236" s="42">
        <v>1103</v>
      </c>
      <c r="T236" s="43" t="s">
        <v>28</v>
      </c>
      <c r="U236" s="43">
        <v>54.6</v>
      </c>
      <c r="V236" s="43">
        <v>44.1</v>
      </c>
      <c r="W236" s="44">
        <v>24.2</v>
      </c>
      <c r="X236" s="44">
        <v>34.9</v>
      </c>
      <c r="Y236" s="44" t="s">
        <v>28</v>
      </c>
      <c r="Z236" s="44" t="s">
        <v>28</v>
      </c>
      <c r="AA236" s="44" t="s">
        <v>28</v>
      </c>
      <c r="AB236" s="44">
        <v>24.3</v>
      </c>
    </row>
    <row r="237" spans="1:28" s="49" customFormat="1" ht="27.95" customHeight="1" x14ac:dyDescent="0.25">
      <c r="A237" s="41" t="s">
        <v>342</v>
      </c>
      <c r="B237" s="42">
        <v>24</v>
      </c>
      <c r="C237" s="42">
        <v>66</v>
      </c>
      <c r="D237" s="42">
        <v>64</v>
      </c>
      <c r="E237" s="42">
        <v>22</v>
      </c>
      <c r="F237" s="42">
        <v>43</v>
      </c>
      <c r="G237" s="42">
        <v>8</v>
      </c>
      <c r="H237" s="42">
        <v>19</v>
      </c>
      <c r="I237" s="42">
        <v>18</v>
      </c>
      <c r="J237" s="42">
        <v>61</v>
      </c>
      <c r="K237" s="42">
        <v>409</v>
      </c>
      <c r="L237" s="42">
        <v>1415</v>
      </c>
      <c r="M237" s="42">
        <v>1555</v>
      </c>
      <c r="N237" s="42">
        <v>570</v>
      </c>
      <c r="O237" s="42">
        <v>1767</v>
      </c>
      <c r="P237" s="42">
        <v>323</v>
      </c>
      <c r="Q237" s="42">
        <v>901</v>
      </c>
      <c r="R237" s="42">
        <v>624</v>
      </c>
      <c r="S237" s="42">
        <v>1838</v>
      </c>
      <c r="T237" s="43">
        <v>57.6</v>
      </c>
      <c r="U237" s="43">
        <v>47</v>
      </c>
      <c r="V237" s="43">
        <v>41.3</v>
      </c>
      <c r="W237" s="44">
        <v>38.700000000000003</v>
      </c>
      <c r="X237" s="44">
        <v>24.3</v>
      </c>
      <c r="Y237" s="44">
        <v>26.1</v>
      </c>
      <c r="Z237" s="44">
        <v>21.4</v>
      </c>
      <c r="AA237" s="44">
        <v>29.6</v>
      </c>
      <c r="AB237" s="44">
        <v>33.4</v>
      </c>
    </row>
    <row r="238" spans="1:28" s="49" customFormat="1" ht="45.95" customHeight="1" x14ac:dyDescent="0.25">
      <c r="A238" s="40" t="s">
        <v>343</v>
      </c>
      <c r="B238" s="45" t="s">
        <v>16</v>
      </c>
      <c r="C238" s="45" t="s">
        <v>16</v>
      </c>
      <c r="D238" s="45" t="s">
        <v>16</v>
      </c>
      <c r="E238" s="45" t="s">
        <v>16</v>
      </c>
      <c r="F238" s="45" t="s">
        <v>16</v>
      </c>
      <c r="G238" s="45" t="s">
        <v>16</v>
      </c>
      <c r="H238" s="45" t="s">
        <v>16</v>
      </c>
      <c r="I238" s="45" t="s">
        <v>16</v>
      </c>
      <c r="J238" s="45" t="s">
        <v>16</v>
      </c>
      <c r="K238" s="45" t="s">
        <v>16</v>
      </c>
      <c r="L238" s="45" t="s">
        <v>16</v>
      </c>
      <c r="M238" s="45" t="s">
        <v>16</v>
      </c>
      <c r="N238" s="45" t="s">
        <v>16</v>
      </c>
      <c r="O238" s="45" t="s">
        <v>16</v>
      </c>
      <c r="P238" s="45" t="s">
        <v>16</v>
      </c>
      <c r="Q238" s="45" t="s">
        <v>16</v>
      </c>
      <c r="R238" s="45" t="s">
        <v>16</v>
      </c>
      <c r="S238" s="45" t="s">
        <v>16</v>
      </c>
      <c r="T238" s="46"/>
      <c r="U238" s="46"/>
      <c r="V238" s="46"/>
      <c r="W238" s="47"/>
      <c r="X238" s="47"/>
      <c r="Y238" s="47"/>
      <c r="Z238" s="47"/>
      <c r="AA238" s="47"/>
      <c r="AB238" s="47"/>
    </row>
    <row r="239" spans="1:28" s="49" customFormat="1" ht="15" customHeight="1" x14ac:dyDescent="0.25">
      <c r="A239" s="35" t="s">
        <v>274</v>
      </c>
      <c r="B239" s="42">
        <v>74</v>
      </c>
      <c r="C239" s="42">
        <v>310</v>
      </c>
      <c r="D239" s="42">
        <v>390</v>
      </c>
      <c r="E239" s="42">
        <v>109</v>
      </c>
      <c r="F239" s="42">
        <v>217</v>
      </c>
      <c r="G239" s="42">
        <v>63</v>
      </c>
      <c r="H239" s="42">
        <v>142</v>
      </c>
      <c r="I239" s="42">
        <v>104</v>
      </c>
      <c r="J239" s="42">
        <v>226</v>
      </c>
      <c r="K239" s="42">
        <v>1869</v>
      </c>
      <c r="L239" s="42">
        <v>7326</v>
      </c>
      <c r="M239" s="42">
        <v>8751</v>
      </c>
      <c r="N239" s="42">
        <v>3235</v>
      </c>
      <c r="O239" s="42">
        <v>7783</v>
      </c>
      <c r="P239" s="42">
        <v>2649</v>
      </c>
      <c r="Q239" s="42">
        <v>4952</v>
      </c>
      <c r="R239" s="42">
        <v>2952</v>
      </c>
      <c r="S239" s="42">
        <v>7300</v>
      </c>
      <c r="T239" s="43">
        <v>39.700000000000003</v>
      </c>
      <c r="U239" s="43">
        <v>42.4</v>
      </c>
      <c r="V239" s="43">
        <v>44.5</v>
      </c>
      <c r="W239" s="44">
        <v>33.6</v>
      </c>
      <c r="X239" s="44">
        <v>27.9</v>
      </c>
      <c r="Y239" s="44">
        <v>23.7</v>
      </c>
      <c r="Z239" s="44">
        <v>28.6</v>
      </c>
      <c r="AA239" s="44">
        <v>35.200000000000003</v>
      </c>
      <c r="AB239" s="44">
        <v>30.9</v>
      </c>
    </row>
    <row r="240" spans="1:28" s="49" customFormat="1" ht="15" customHeight="1" x14ac:dyDescent="0.25">
      <c r="A240" s="35" t="s">
        <v>275</v>
      </c>
      <c r="B240" s="42">
        <v>81</v>
      </c>
      <c r="C240" s="42">
        <v>298</v>
      </c>
      <c r="D240" s="42">
        <v>369</v>
      </c>
      <c r="E240" s="42">
        <v>106</v>
      </c>
      <c r="F240" s="42">
        <v>227</v>
      </c>
      <c r="G240" s="42">
        <v>64</v>
      </c>
      <c r="H240" s="42">
        <v>140</v>
      </c>
      <c r="I240" s="42">
        <v>96</v>
      </c>
      <c r="J240" s="42">
        <v>224</v>
      </c>
      <c r="K240" s="42">
        <v>1813</v>
      </c>
      <c r="L240" s="42">
        <v>7042</v>
      </c>
      <c r="M240" s="42">
        <v>8263</v>
      </c>
      <c r="N240" s="42">
        <v>3131</v>
      </c>
      <c r="O240" s="42">
        <v>8092</v>
      </c>
      <c r="P240" s="42">
        <v>2650</v>
      </c>
      <c r="Q240" s="42">
        <v>4893</v>
      </c>
      <c r="R240" s="42">
        <v>2726</v>
      </c>
      <c r="S240" s="42">
        <v>7118</v>
      </c>
      <c r="T240" s="43">
        <v>44.5</v>
      </c>
      <c r="U240" s="43">
        <v>42.3</v>
      </c>
      <c r="V240" s="43">
        <v>44.6</v>
      </c>
      <c r="W240" s="44">
        <v>33.700000000000003</v>
      </c>
      <c r="X240" s="44">
        <v>28</v>
      </c>
      <c r="Y240" s="44">
        <v>24.3</v>
      </c>
      <c r="Z240" s="44">
        <v>28.5</v>
      </c>
      <c r="AA240" s="44">
        <v>35.200000000000003</v>
      </c>
      <c r="AB240" s="44">
        <v>31.5</v>
      </c>
    </row>
    <row r="241" spans="1:28" s="49" customFormat="1" ht="15" customHeight="1" x14ac:dyDescent="0.25">
      <c r="A241" s="35" t="s">
        <v>344</v>
      </c>
      <c r="B241" s="42">
        <v>107</v>
      </c>
      <c r="C241" s="42">
        <v>350</v>
      </c>
      <c r="D241" s="42">
        <v>455</v>
      </c>
      <c r="E241" s="42">
        <v>139</v>
      </c>
      <c r="F241" s="42">
        <v>275</v>
      </c>
      <c r="G241" s="42">
        <v>98</v>
      </c>
      <c r="H241" s="42">
        <v>179</v>
      </c>
      <c r="I241" s="42">
        <v>153</v>
      </c>
      <c r="J241" s="42">
        <v>296</v>
      </c>
      <c r="K241" s="42">
        <v>2193</v>
      </c>
      <c r="L241" s="42">
        <v>8217</v>
      </c>
      <c r="M241" s="42">
        <v>10107</v>
      </c>
      <c r="N241" s="42">
        <v>4047</v>
      </c>
      <c r="O241" s="42">
        <v>9350</v>
      </c>
      <c r="P241" s="42">
        <v>3154</v>
      </c>
      <c r="Q241" s="42">
        <v>6034</v>
      </c>
      <c r="R241" s="42">
        <v>3641</v>
      </c>
      <c r="S241" s="42">
        <v>8289</v>
      </c>
      <c r="T241" s="43">
        <v>49</v>
      </c>
      <c r="U241" s="43">
        <v>42.6</v>
      </c>
      <c r="V241" s="43">
        <v>45</v>
      </c>
      <c r="W241" s="44">
        <v>34.4</v>
      </c>
      <c r="X241" s="44">
        <v>29.4</v>
      </c>
      <c r="Y241" s="44">
        <v>31.2</v>
      </c>
      <c r="Z241" s="44">
        <v>29.7</v>
      </c>
      <c r="AA241" s="44">
        <v>42.1</v>
      </c>
      <c r="AB241" s="44">
        <v>35.700000000000003</v>
      </c>
    </row>
    <row r="242" spans="1:28" ht="33.950000000000003" customHeight="1" x14ac:dyDescent="0.25">
      <c r="A242" s="31" t="s">
        <v>362</v>
      </c>
      <c r="B242" s="32" t="s">
        <v>16</v>
      </c>
      <c r="C242" s="32" t="s">
        <v>16</v>
      </c>
      <c r="D242" s="32" t="s">
        <v>16</v>
      </c>
      <c r="E242" s="32" t="s">
        <v>16</v>
      </c>
      <c r="F242" s="32" t="s">
        <v>16</v>
      </c>
      <c r="G242" s="32" t="s">
        <v>16</v>
      </c>
      <c r="H242" s="32" t="s">
        <v>16</v>
      </c>
      <c r="I242" s="32" t="s">
        <v>16</v>
      </c>
      <c r="J242" s="32" t="s">
        <v>16</v>
      </c>
      <c r="K242" s="32" t="s">
        <v>16</v>
      </c>
      <c r="L242" s="32" t="s">
        <v>16</v>
      </c>
      <c r="M242" s="32" t="s">
        <v>16</v>
      </c>
      <c r="N242" s="32" t="s">
        <v>16</v>
      </c>
      <c r="O242" s="32" t="s">
        <v>16</v>
      </c>
      <c r="P242" s="32" t="s">
        <v>16</v>
      </c>
      <c r="Q242" s="32" t="s">
        <v>16</v>
      </c>
      <c r="R242" s="32" t="s">
        <v>16</v>
      </c>
      <c r="S242" s="32" t="s">
        <v>16</v>
      </c>
      <c r="T242" s="33"/>
      <c r="U242" s="33"/>
      <c r="V242" s="33"/>
      <c r="W242" s="34"/>
      <c r="X242" s="34"/>
      <c r="Y242" s="34"/>
      <c r="Z242" s="34"/>
      <c r="AA242" s="34"/>
      <c r="AB242" s="34"/>
    </row>
    <row r="243" spans="1:28" ht="15" customHeight="1" x14ac:dyDescent="0.25">
      <c r="A243" s="35" t="s">
        <v>363</v>
      </c>
      <c r="B243" s="36">
        <v>1</v>
      </c>
      <c r="C243" s="36">
        <v>4</v>
      </c>
      <c r="D243" s="36">
        <v>11</v>
      </c>
      <c r="E243" s="36">
        <v>6</v>
      </c>
      <c r="F243" s="36">
        <v>5</v>
      </c>
      <c r="G243" s="36">
        <v>5</v>
      </c>
      <c r="H243" s="36">
        <v>7</v>
      </c>
      <c r="I243" s="36">
        <v>4</v>
      </c>
      <c r="J243" s="36">
        <v>8</v>
      </c>
      <c r="K243" s="36">
        <v>209</v>
      </c>
      <c r="L243" s="36">
        <v>476</v>
      </c>
      <c r="M243" s="36">
        <v>789</v>
      </c>
      <c r="N243" s="36">
        <v>455</v>
      </c>
      <c r="O243" s="36">
        <v>1359</v>
      </c>
      <c r="P243" s="36">
        <v>558</v>
      </c>
      <c r="Q243" s="36">
        <v>1161</v>
      </c>
      <c r="R243" s="36">
        <v>306</v>
      </c>
      <c r="S243" s="36">
        <v>1638</v>
      </c>
      <c r="T243" s="37">
        <v>5.5</v>
      </c>
      <c r="U243" s="37">
        <v>8.6999999999999993</v>
      </c>
      <c r="V243" s="37">
        <v>13.4</v>
      </c>
      <c r="W243" s="38">
        <v>12.4</v>
      </c>
      <c r="X243" s="38">
        <v>3.7</v>
      </c>
      <c r="Y243" s="38">
        <v>8.6</v>
      </c>
      <c r="Z243" s="38">
        <v>6.3</v>
      </c>
      <c r="AA243" s="38">
        <v>13.3</v>
      </c>
      <c r="AB243" s="38">
        <v>5.2</v>
      </c>
    </row>
    <row r="244" spans="1:28" ht="15" customHeight="1" x14ac:dyDescent="0.25">
      <c r="A244" s="35" t="s">
        <v>102</v>
      </c>
      <c r="B244" s="36">
        <v>12</v>
      </c>
      <c r="C244" s="36">
        <v>37</v>
      </c>
      <c r="D244" s="36">
        <v>56</v>
      </c>
      <c r="E244" s="36">
        <v>27</v>
      </c>
      <c r="F244" s="36">
        <v>36</v>
      </c>
      <c r="G244" s="36">
        <v>15</v>
      </c>
      <c r="H244" s="36">
        <v>32</v>
      </c>
      <c r="I244" s="36">
        <v>23</v>
      </c>
      <c r="J244" s="36">
        <v>37</v>
      </c>
      <c r="K244" s="36">
        <v>578</v>
      </c>
      <c r="L244" s="36">
        <v>1546</v>
      </c>
      <c r="M244" s="36">
        <v>2121</v>
      </c>
      <c r="N244" s="36">
        <v>1097</v>
      </c>
      <c r="O244" s="36">
        <v>2387</v>
      </c>
      <c r="P244" s="36">
        <v>848</v>
      </c>
      <c r="Q244" s="36">
        <v>1697</v>
      </c>
      <c r="R244" s="36">
        <v>893</v>
      </c>
      <c r="S244" s="36">
        <v>2168</v>
      </c>
      <c r="T244" s="37">
        <v>20.5</v>
      </c>
      <c r="U244" s="37">
        <v>23.8</v>
      </c>
      <c r="V244" s="37">
        <v>26.2</v>
      </c>
      <c r="W244" s="38">
        <v>24.5</v>
      </c>
      <c r="X244" s="38">
        <v>15.2</v>
      </c>
      <c r="Y244" s="38">
        <v>17.399999999999999</v>
      </c>
      <c r="Z244" s="38">
        <v>19.100000000000001</v>
      </c>
      <c r="AA244" s="38">
        <v>26.1</v>
      </c>
      <c r="AB244" s="38">
        <v>17.2</v>
      </c>
    </row>
    <row r="245" spans="1:28" ht="15" customHeight="1" x14ac:dyDescent="0.25">
      <c r="A245" s="35" t="s">
        <v>364</v>
      </c>
      <c r="B245" s="36" t="s">
        <v>28</v>
      </c>
      <c r="C245" s="36">
        <v>36</v>
      </c>
      <c r="D245" s="36">
        <v>45</v>
      </c>
      <c r="E245" s="36">
        <v>16</v>
      </c>
      <c r="F245" s="36">
        <v>40</v>
      </c>
      <c r="G245" s="36">
        <v>14</v>
      </c>
      <c r="H245" s="36">
        <v>27</v>
      </c>
      <c r="I245" s="36">
        <v>17</v>
      </c>
      <c r="J245" s="36">
        <v>31</v>
      </c>
      <c r="K245" s="36" t="s">
        <v>28</v>
      </c>
      <c r="L245" s="36">
        <v>1300</v>
      </c>
      <c r="M245" s="36">
        <v>1264</v>
      </c>
      <c r="N245" s="36">
        <v>473</v>
      </c>
      <c r="O245" s="36">
        <v>1432</v>
      </c>
      <c r="P245" s="36">
        <v>710</v>
      </c>
      <c r="Q245" s="36">
        <v>1222</v>
      </c>
      <c r="R245" s="36">
        <v>389</v>
      </c>
      <c r="S245" s="36">
        <v>1018</v>
      </c>
      <c r="T245" s="37" t="s">
        <v>28</v>
      </c>
      <c r="U245" s="37">
        <v>27.4</v>
      </c>
      <c r="V245" s="37">
        <v>35.299999999999997</v>
      </c>
      <c r="W245" s="38">
        <v>33.1</v>
      </c>
      <c r="X245" s="38">
        <v>27.7</v>
      </c>
      <c r="Y245" s="38">
        <v>20.3</v>
      </c>
      <c r="Z245" s="38">
        <v>22.1</v>
      </c>
      <c r="AA245" s="38">
        <v>42.6</v>
      </c>
      <c r="AB245" s="38">
        <v>30.2</v>
      </c>
    </row>
    <row r="246" spans="1:28" ht="15" customHeight="1" x14ac:dyDescent="0.25">
      <c r="A246" s="35" t="s">
        <v>365</v>
      </c>
      <c r="B246" s="36">
        <v>13</v>
      </c>
      <c r="C246" s="36">
        <v>52</v>
      </c>
      <c r="D246" s="36">
        <v>93</v>
      </c>
      <c r="E246" s="36">
        <v>36</v>
      </c>
      <c r="F246" s="36">
        <v>84</v>
      </c>
      <c r="G246" s="36">
        <v>15</v>
      </c>
      <c r="H246" s="36">
        <v>42</v>
      </c>
      <c r="I246" s="36">
        <v>31</v>
      </c>
      <c r="J246" s="36">
        <v>81</v>
      </c>
      <c r="K246" s="36">
        <v>276</v>
      </c>
      <c r="L246" s="36">
        <v>1556</v>
      </c>
      <c r="M246" s="36">
        <v>2159</v>
      </c>
      <c r="N246" s="36">
        <v>1034</v>
      </c>
      <c r="O246" s="36">
        <v>2073</v>
      </c>
      <c r="P246" s="36">
        <v>573</v>
      </c>
      <c r="Q246" s="36">
        <v>1036</v>
      </c>
      <c r="R246" s="36">
        <v>788</v>
      </c>
      <c r="S246" s="36">
        <v>1662</v>
      </c>
      <c r="T246" s="37">
        <v>47.9</v>
      </c>
      <c r="U246" s="37">
        <v>33.299999999999997</v>
      </c>
      <c r="V246" s="37">
        <v>43.3</v>
      </c>
      <c r="W246" s="38">
        <v>34.4</v>
      </c>
      <c r="X246" s="38">
        <v>40.700000000000003</v>
      </c>
      <c r="Y246" s="38">
        <v>26.3</v>
      </c>
      <c r="Z246" s="38">
        <v>40.5</v>
      </c>
      <c r="AA246" s="38">
        <v>39.4</v>
      </c>
      <c r="AB246" s="38">
        <v>49</v>
      </c>
    </row>
    <row r="247" spans="1:28" ht="15" customHeight="1" x14ac:dyDescent="0.25">
      <c r="A247" s="35" t="s">
        <v>105</v>
      </c>
      <c r="B247" s="36" t="s">
        <v>28</v>
      </c>
      <c r="C247" s="36">
        <v>63</v>
      </c>
      <c r="D247" s="36">
        <v>83</v>
      </c>
      <c r="E247" s="36">
        <v>12</v>
      </c>
      <c r="F247" s="36">
        <v>44</v>
      </c>
      <c r="G247" s="36">
        <v>15</v>
      </c>
      <c r="H247" s="36">
        <v>23</v>
      </c>
      <c r="I247" s="36">
        <v>17</v>
      </c>
      <c r="J247" s="36">
        <v>39</v>
      </c>
      <c r="K247" s="36" t="s">
        <v>28</v>
      </c>
      <c r="L247" s="36">
        <v>1361</v>
      </c>
      <c r="M247" s="36">
        <v>1586</v>
      </c>
      <c r="N247" s="36">
        <v>310</v>
      </c>
      <c r="O247" s="36">
        <v>1169</v>
      </c>
      <c r="P247" s="36">
        <v>342</v>
      </c>
      <c r="Q247" s="36">
        <v>627</v>
      </c>
      <c r="R247" s="36">
        <v>434</v>
      </c>
      <c r="S247" s="36">
        <v>1033</v>
      </c>
      <c r="T247" s="37" t="s">
        <v>28</v>
      </c>
      <c r="U247" s="37">
        <v>46.1</v>
      </c>
      <c r="V247" s="37">
        <v>52.3</v>
      </c>
      <c r="W247" s="38">
        <v>37.6</v>
      </c>
      <c r="X247" s="38">
        <v>37.700000000000003</v>
      </c>
      <c r="Y247" s="38">
        <v>43.3</v>
      </c>
      <c r="Z247" s="38">
        <v>36.299999999999997</v>
      </c>
      <c r="AA247" s="38">
        <v>38.6</v>
      </c>
      <c r="AB247" s="38">
        <v>37.6</v>
      </c>
    </row>
    <row r="248" spans="1:28" ht="15" customHeight="1" x14ac:dyDescent="0.25">
      <c r="A248" s="35" t="s">
        <v>348</v>
      </c>
      <c r="B248" s="36" t="s">
        <v>28</v>
      </c>
      <c r="C248" s="36">
        <v>53</v>
      </c>
      <c r="D248" s="36">
        <v>62</v>
      </c>
      <c r="E248" s="36">
        <v>22</v>
      </c>
      <c r="F248" s="36">
        <v>35</v>
      </c>
      <c r="G248" s="36" t="s">
        <v>28</v>
      </c>
      <c r="H248" s="36" t="s">
        <v>28</v>
      </c>
      <c r="I248" s="36">
        <v>13</v>
      </c>
      <c r="J248" s="36">
        <v>38</v>
      </c>
      <c r="K248" s="36" t="s">
        <v>28</v>
      </c>
      <c r="L248" s="36">
        <v>1075</v>
      </c>
      <c r="M248" s="36">
        <v>1218</v>
      </c>
      <c r="N248" s="36">
        <v>450</v>
      </c>
      <c r="O248" s="36">
        <v>870</v>
      </c>
      <c r="P248" s="36" t="s">
        <v>28</v>
      </c>
      <c r="Q248" s="36" t="s">
        <v>28</v>
      </c>
      <c r="R248" s="36">
        <v>350</v>
      </c>
      <c r="S248" s="36">
        <v>574</v>
      </c>
      <c r="T248" s="37" t="s">
        <v>28</v>
      </c>
      <c r="U248" s="37">
        <v>49</v>
      </c>
      <c r="V248" s="37">
        <v>50.7</v>
      </c>
      <c r="W248" s="38">
        <v>49.9</v>
      </c>
      <c r="X248" s="38">
        <v>39.700000000000003</v>
      </c>
      <c r="Y248" s="38" t="s">
        <v>28</v>
      </c>
      <c r="Z248" s="38" t="s">
        <v>28</v>
      </c>
      <c r="AA248" s="38">
        <v>36.799999999999997</v>
      </c>
      <c r="AB248" s="38">
        <v>65.5</v>
      </c>
    </row>
    <row r="249" spans="1:28" ht="15" customHeight="1" x14ac:dyDescent="0.25">
      <c r="A249" s="35" t="s">
        <v>366</v>
      </c>
      <c r="B249" s="36">
        <v>45</v>
      </c>
      <c r="C249" s="36">
        <v>136</v>
      </c>
      <c r="D249" s="36">
        <v>133</v>
      </c>
      <c r="E249" s="36">
        <v>27</v>
      </c>
      <c r="F249" s="36">
        <v>54</v>
      </c>
      <c r="G249" s="36">
        <v>27</v>
      </c>
      <c r="H249" s="36">
        <v>45</v>
      </c>
      <c r="I249" s="36" t="s">
        <v>28</v>
      </c>
      <c r="J249" s="36">
        <v>85</v>
      </c>
      <c r="K249" s="36">
        <v>391</v>
      </c>
      <c r="L249" s="36">
        <v>1513</v>
      </c>
      <c r="M249" s="36">
        <v>1653</v>
      </c>
      <c r="N249" s="36">
        <v>418</v>
      </c>
      <c r="O249" s="36">
        <v>694</v>
      </c>
      <c r="P249" s="36">
        <v>220</v>
      </c>
      <c r="Q249" s="36">
        <v>494</v>
      </c>
      <c r="R249" s="36" t="s">
        <v>28</v>
      </c>
      <c r="S249" s="36">
        <v>873</v>
      </c>
      <c r="T249" s="37">
        <v>114</v>
      </c>
      <c r="U249" s="37">
        <v>89.6</v>
      </c>
      <c r="V249" s="37">
        <v>80.2</v>
      </c>
      <c r="W249" s="38">
        <v>65.3</v>
      </c>
      <c r="X249" s="38">
        <v>77.400000000000006</v>
      </c>
      <c r="Y249" s="38">
        <v>121.6</v>
      </c>
      <c r="Z249" s="38">
        <v>91</v>
      </c>
      <c r="AA249" s="38">
        <v>90.5</v>
      </c>
      <c r="AB249" s="38">
        <v>97.8</v>
      </c>
    </row>
    <row r="250" spans="1:28" ht="15" customHeight="1" thickBot="1" x14ac:dyDescent="0.3">
      <c r="A250" s="39"/>
      <c r="B250" s="264"/>
      <c r="C250" s="263"/>
      <c r="D250" s="263"/>
      <c r="E250" s="264"/>
      <c r="F250" s="263"/>
      <c r="G250" s="263"/>
      <c r="H250" s="50"/>
      <c r="I250" s="50"/>
      <c r="J250" s="50"/>
      <c r="K250" s="263"/>
      <c r="L250" s="263"/>
      <c r="M250" s="51"/>
      <c r="N250" s="263"/>
      <c r="O250" s="263"/>
      <c r="P250" s="51"/>
      <c r="Q250" s="50"/>
      <c r="R250" s="50"/>
      <c r="S250" s="52"/>
      <c r="T250" s="51"/>
      <c r="U250" s="51"/>
      <c r="V250" s="51"/>
      <c r="W250" s="53"/>
      <c r="X250" s="53"/>
      <c r="Y250" s="53"/>
      <c r="Z250" s="54"/>
      <c r="AA250" s="54"/>
      <c r="AB250" s="54"/>
    </row>
    <row r="251" spans="1:28" ht="172.5" customHeight="1" x14ac:dyDescent="0.25">
      <c r="A251" s="641" t="s">
        <v>367</v>
      </c>
      <c r="B251" s="641"/>
      <c r="C251" s="641"/>
      <c r="D251" s="641"/>
      <c r="E251" s="641"/>
      <c r="F251" s="641"/>
      <c r="G251" s="641"/>
      <c r="H251" s="641"/>
      <c r="I251" s="641"/>
      <c r="J251" s="641"/>
      <c r="K251" s="389"/>
      <c r="L251" s="389"/>
      <c r="M251" s="389"/>
      <c r="N251" s="263"/>
      <c r="O251" s="263"/>
      <c r="P251" s="263"/>
      <c r="Q251" s="263"/>
      <c r="R251" s="263"/>
      <c r="S251" s="263"/>
      <c r="T251" s="393"/>
      <c r="U251" s="393"/>
      <c r="V251" s="393"/>
      <c r="W251" s="263"/>
      <c r="X251" s="263"/>
      <c r="Y251" s="263"/>
      <c r="Z251" s="263"/>
      <c r="AA251" s="263"/>
      <c r="AB251" s="263"/>
    </row>
  </sheetData>
  <mergeCells count="5">
    <mergeCell ref="A2:J2"/>
    <mergeCell ref="B3:J3"/>
    <mergeCell ref="K3:S3"/>
    <mergeCell ref="T3:AB3"/>
    <mergeCell ref="A251:J251"/>
  </mergeCells>
  <pageMargins left="0.7" right="0.7" top="0.6" bottom="0.6" header="0.3" footer="0.3"/>
  <pageSetup scale="84" fitToHeight="0" orientation="portrait" r:id="rId1"/>
  <rowBreaks count="5" manualBreakCount="5">
    <brk id="44" max="16383" man="1"/>
    <brk id="123" max="16383" man="1"/>
    <brk id="162" max="16383" man="1"/>
    <brk id="199" max="16383" man="1"/>
    <brk id="2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4BA06-9DB0-4374-A5A0-DD8871342D92}">
  <dimension ref="A1:P117"/>
  <sheetViews>
    <sheetView zoomScale="70" zoomScaleNormal="70" workbookViewId="0">
      <selection activeCell="C26" sqref="C26"/>
    </sheetView>
  </sheetViews>
  <sheetFormatPr defaultRowHeight="14.25" x14ac:dyDescent="0.2"/>
  <cols>
    <col min="1" max="1" width="101.5703125" style="138" customWidth="1"/>
    <col min="2" max="3" width="9.140625" style="138"/>
    <col min="4" max="4" width="10.28515625" style="138" bestFit="1" customWidth="1"/>
    <col min="5" max="5" width="11.5703125" style="138" customWidth="1"/>
    <col min="6" max="6" width="9.140625" style="138"/>
    <col min="7" max="7" width="11.7109375" style="138" customWidth="1"/>
    <col min="8" max="8" width="11" style="138" customWidth="1"/>
    <col min="9" max="9" width="19.140625" style="138" customWidth="1"/>
    <col min="10" max="10" width="9.140625" style="138"/>
    <col min="11" max="11" width="12.140625" style="138" customWidth="1"/>
    <col min="12" max="12" width="10.7109375" style="138" customWidth="1"/>
    <col min="13" max="14" width="9.140625" style="138"/>
    <col min="15" max="15" width="40" style="138" customWidth="1"/>
    <col min="16" max="16" width="86.85546875" style="138" customWidth="1"/>
    <col min="17" max="16384" width="9.140625" style="138"/>
  </cols>
  <sheetData>
    <row r="1" spans="1:1" ht="20.25" x14ac:dyDescent="0.2">
      <c r="A1" s="380" t="s">
        <v>368</v>
      </c>
    </row>
    <row r="2" spans="1:1" ht="20.25" x14ac:dyDescent="0.2">
      <c r="A2" s="380" t="s">
        <v>369</v>
      </c>
    </row>
    <row r="3" spans="1:1" x14ac:dyDescent="0.2">
      <c r="A3" s="340"/>
    </row>
    <row r="4" spans="1:1" x14ac:dyDescent="0.2">
      <c r="A4" s="340"/>
    </row>
    <row r="5" spans="1:1" ht="42.75" x14ac:dyDescent="0.2">
      <c r="A5" s="477" t="s">
        <v>370</v>
      </c>
    </row>
    <row r="6" spans="1:1" ht="28.5" x14ac:dyDescent="0.2">
      <c r="A6" s="477" t="s">
        <v>371</v>
      </c>
    </row>
    <row r="7" spans="1:1" ht="42.75" x14ac:dyDescent="0.2">
      <c r="A7" s="477" t="s">
        <v>372</v>
      </c>
    </row>
    <row r="8" spans="1:1" x14ac:dyDescent="0.2">
      <c r="A8" s="341"/>
    </row>
    <row r="9" spans="1:1" x14ac:dyDescent="0.2">
      <c r="A9" s="341"/>
    </row>
    <row r="10" spans="1:1" ht="20.25" x14ac:dyDescent="0.2">
      <c r="A10" s="381" t="s">
        <v>373</v>
      </c>
    </row>
    <row r="11" spans="1:1" ht="44.25" customHeight="1" x14ac:dyDescent="0.2">
      <c r="A11" s="625" t="s">
        <v>1552</v>
      </c>
    </row>
    <row r="12" spans="1:1" ht="81" customHeight="1" x14ac:dyDescent="0.2">
      <c r="A12" s="340" t="s">
        <v>374</v>
      </c>
    </row>
    <row r="13" spans="1:1" ht="51" customHeight="1" x14ac:dyDescent="0.2">
      <c r="A13" s="340" t="s">
        <v>375</v>
      </c>
    </row>
    <row r="14" spans="1:1" ht="34.5" customHeight="1" x14ac:dyDescent="0.2">
      <c r="A14" s="340" t="s">
        <v>376</v>
      </c>
    </row>
    <row r="15" spans="1:1" ht="77.25" customHeight="1" x14ac:dyDescent="0.2">
      <c r="A15" s="340" t="s">
        <v>377</v>
      </c>
    </row>
    <row r="16" spans="1:1" ht="42.75" x14ac:dyDescent="0.2">
      <c r="A16" s="477" t="s">
        <v>378</v>
      </c>
    </row>
    <row r="18" spans="1:16" ht="20.25" x14ac:dyDescent="0.2">
      <c r="A18" s="380" t="s">
        <v>379</v>
      </c>
    </row>
    <row r="19" spans="1:16" ht="20.25" x14ac:dyDescent="0.2">
      <c r="A19" s="381" t="s">
        <v>380</v>
      </c>
    </row>
    <row r="20" spans="1:16" x14ac:dyDescent="0.2">
      <c r="A20" s="368" t="s">
        <v>381</v>
      </c>
    </row>
    <row r="21" spans="1:16" x14ac:dyDescent="0.2">
      <c r="A21" s="369" t="s">
        <v>382</v>
      </c>
    </row>
    <row r="22" spans="1:16" ht="28.5" x14ac:dyDescent="0.2">
      <c r="A22" s="369" t="s">
        <v>383</v>
      </c>
    </row>
    <row r="23" spans="1:16" x14ac:dyDescent="0.2">
      <c r="A23" s="369" t="s">
        <v>384</v>
      </c>
    </row>
    <row r="24" spans="1:16" x14ac:dyDescent="0.2">
      <c r="A24" s="368" t="s">
        <v>385</v>
      </c>
    </row>
    <row r="25" spans="1:16" ht="57" x14ac:dyDescent="0.2">
      <c r="A25" s="368" t="s">
        <v>386</v>
      </c>
    </row>
    <row r="26" spans="1:16" ht="88.5" thickBot="1" x14ac:dyDescent="0.25">
      <c r="A26" s="368" t="s">
        <v>1558</v>
      </c>
      <c r="O26" s="372" t="s">
        <v>387</v>
      </c>
      <c r="P26" s="373" t="s">
        <v>388</v>
      </c>
    </row>
    <row r="27" spans="1:16" ht="72" thickTop="1" x14ac:dyDescent="0.2">
      <c r="A27" s="368" t="s">
        <v>389</v>
      </c>
      <c r="O27" s="374" t="s">
        <v>111</v>
      </c>
      <c r="P27" s="421" t="s">
        <v>390</v>
      </c>
    </row>
    <row r="28" spans="1:16" ht="42.75" x14ac:dyDescent="0.2">
      <c r="A28" s="368" t="s">
        <v>391</v>
      </c>
      <c r="D28" s="370" t="s">
        <v>392</v>
      </c>
      <c r="O28" s="375" t="s">
        <v>393</v>
      </c>
      <c r="P28" s="422" t="s">
        <v>394</v>
      </c>
    </row>
    <row r="29" spans="1:16" ht="45" x14ac:dyDescent="0.2">
      <c r="D29" s="382" t="s">
        <v>395</v>
      </c>
      <c r="E29" s="382" t="s">
        <v>396</v>
      </c>
      <c r="F29" s="382" t="s">
        <v>167</v>
      </c>
      <c r="G29" s="382" t="s">
        <v>397</v>
      </c>
      <c r="H29" s="382" t="s">
        <v>398</v>
      </c>
      <c r="I29" s="382" t="s">
        <v>399</v>
      </c>
      <c r="J29" s="382" t="s">
        <v>400</v>
      </c>
      <c r="K29" s="382" t="s">
        <v>401</v>
      </c>
      <c r="L29" s="382" t="s">
        <v>402</v>
      </c>
      <c r="O29" s="376" t="s">
        <v>403</v>
      </c>
      <c r="P29" s="423" t="s">
        <v>404</v>
      </c>
    </row>
    <row r="30" spans="1:16" ht="15" x14ac:dyDescent="0.2">
      <c r="D30" s="383" t="s">
        <v>405</v>
      </c>
      <c r="E30" s="383" t="s">
        <v>406</v>
      </c>
      <c r="F30" s="383" t="s">
        <v>405</v>
      </c>
      <c r="G30" s="384">
        <f>VLOOKUP(E30,'GHG Coefficient Lookup'!$B$5:$Q$31,6)/3412</f>
        <v>0.22336254396248537</v>
      </c>
      <c r="H30" s="384">
        <f>VLOOKUP(E30,'GHG Coefficient Lookup'!$B$5:$Q$31,13)/3412</f>
        <v>0.42244958968347007</v>
      </c>
      <c r="I30" s="384">
        <v>0.42244958968347007</v>
      </c>
      <c r="J30" s="385">
        <f>VLOOKUP(F30,'GHG Coefficient Lookup'!$B$40:$J$90,9)</f>
        <v>0.14157151230949588</v>
      </c>
      <c r="K30" s="384">
        <f>I30/2.205</f>
        <v>0.19158711550270752</v>
      </c>
      <c r="L30" s="384">
        <f>L31</f>
        <v>2.6955815986857323E-3</v>
      </c>
      <c r="O30" s="375" t="s">
        <v>407</v>
      </c>
      <c r="P30" s="422" t="s">
        <v>408</v>
      </c>
    </row>
    <row r="31" spans="1:16" ht="38.25" x14ac:dyDescent="0.2">
      <c r="D31" s="383" t="s">
        <v>409</v>
      </c>
      <c r="E31" s="383" t="s">
        <v>410</v>
      </c>
      <c r="F31" s="383" t="s">
        <v>409</v>
      </c>
      <c r="G31" s="384">
        <f>VLOOKUP(E31,'GHG Coefficient Lookup'!$B$5:$Q$31,6)/3412</f>
        <v>0.1867168815943728</v>
      </c>
      <c r="H31" s="384">
        <f>VLOOKUP(E31,'GHG Coefficient Lookup'!$B$5:$Q$31,13)/3412</f>
        <v>0.31150527549824147</v>
      </c>
      <c r="I31" s="385">
        <v>0.16758000000000001</v>
      </c>
      <c r="J31" s="385">
        <f>VLOOKUP(F31,'GHG Coefficient Lookup'!$B$40:$J$90,9)</f>
        <v>0.13654044548651817</v>
      </c>
      <c r="K31" s="384">
        <f>I31/2.205</f>
        <v>7.5999999999999998E-2</v>
      </c>
      <c r="L31" s="384">
        <f>L32</f>
        <v>2.6955815986857323E-3</v>
      </c>
      <c r="O31" s="376" t="s">
        <v>411</v>
      </c>
      <c r="P31" s="423" t="s">
        <v>412</v>
      </c>
    </row>
    <row r="32" spans="1:16" ht="25.5" x14ac:dyDescent="0.2">
      <c r="D32" s="383" t="s">
        <v>413</v>
      </c>
      <c r="E32" s="383" t="s">
        <v>414</v>
      </c>
      <c r="F32" s="383" t="s">
        <v>415</v>
      </c>
      <c r="G32" s="384">
        <f>VLOOKUP(E32,'GHG Coefficient Lookup'!$B$5:$Q$31,6)/3412</f>
        <v>0.15530158264947244</v>
      </c>
      <c r="H32" s="384">
        <f>VLOOKUP(E32,'GHG Coefficient Lookup'!$B$5:$Q$31,13)/3412</f>
        <v>0.27714155920281358</v>
      </c>
      <c r="I32" s="386">
        <v>0.15530158264947244</v>
      </c>
      <c r="J32" s="385">
        <f>VLOOKUP(F32,'GHG Coefficient Lookup'!$B$40:$J$90,9)</f>
        <v>0.13307708089097303</v>
      </c>
      <c r="K32" s="384">
        <f>I32/2.205</f>
        <v>7.0431556757130351E-2</v>
      </c>
      <c r="L32" s="384">
        <f>L33</f>
        <v>2.6955815986857323E-3</v>
      </c>
      <c r="O32" s="375" t="s">
        <v>416</v>
      </c>
      <c r="P32" s="422" t="s">
        <v>417</v>
      </c>
    </row>
    <row r="33" spans="1:16" ht="20.25" x14ac:dyDescent="0.2">
      <c r="A33" s="380" t="s">
        <v>1554</v>
      </c>
      <c r="D33" s="383" t="s">
        <v>418</v>
      </c>
      <c r="E33" s="383" t="s">
        <v>419</v>
      </c>
      <c r="F33" s="383" t="s">
        <v>420</v>
      </c>
      <c r="G33" s="384">
        <f>VLOOKUP(E33,'GHG Coefficient Lookup'!$B$5:$Q$31,6)/3412</f>
        <v>0.19208880422039862</v>
      </c>
      <c r="H33" s="384">
        <f>VLOOKUP(E33,'GHG Coefficient Lookup'!$B$5:$Q$31,13)/3412</f>
        <v>0.44953370457209846</v>
      </c>
      <c r="I33" s="385">
        <v>5.9437574251020404E-3</v>
      </c>
      <c r="J33" s="385">
        <f>VLOOKUP(F33,'GHG Coefficient Lookup'!$B$40:$J$90,9)</f>
        <v>5.5079132473622512E-2</v>
      </c>
      <c r="K33" s="384">
        <f>I33/2.205</f>
        <v>2.6955815986857323E-3</v>
      </c>
      <c r="L33" s="384">
        <f>K33</f>
        <v>2.6955815986857323E-3</v>
      </c>
      <c r="O33" s="376" t="s">
        <v>421</v>
      </c>
      <c r="P33" s="423" t="s">
        <v>422</v>
      </c>
    </row>
    <row r="34" spans="1:16" ht="15" x14ac:dyDescent="0.2">
      <c r="A34" s="628"/>
      <c r="O34" s="375" t="s">
        <v>423</v>
      </c>
      <c r="P34" s="422" t="s">
        <v>424</v>
      </c>
    </row>
    <row r="35" spans="1:16" ht="38.25" x14ac:dyDescent="0.2">
      <c r="O35" s="376" t="s">
        <v>425</v>
      </c>
      <c r="P35" s="423" t="s">
        <v>426</v>
      </c>
    </row>
    <row r="36" spans="1:16" ht="25.5" x14ac:dyDescent="0.2">
      <c r="O36" s="375" t="s">
        <v>427</v>
      </c>
      <c r="P36" s="422" t="s">
        <v>428</v>
      </c>
    </row>
    <row r="37" spans="1:16" ht="15" x14ac:dyDescent="0.2">
      <c r="O37" s="376" t="s">
        <v>429</v>
      </c>
      <c r="P37" s="423" t="s">
        <v>430</v>
      </c>
    </row>
    <row r="38" spans="1:16" ht="25.5" x14ac:dyDescent="0.2">
      <c r="O38" s="375" t="s">
        <v>431</v>
      </c>
      <c r="P38" s="422" t="s">
        <v>432</v>
      </c>
    </row>
    <row r="39" spans="1:16" ht="15" x14ac:dyDescent="0.2">
      <c r="O39" s="376" t="s">
        <v>433</v>
      </c>
      <c r="P39" s="423" t="s">
        <v>434</v>
      </c>
    </row>
    <row r="40" spans="1:16" ht="25.5" x14ac:dyDescent="0.2">
      <c r="O40" s="375" t="s">
        <v>435</v>
      </c>
      <c r="P40" s="422" t="s">
        <v>436</v>
      </c>
    </row>
    <row r="41" spans="1:16" ht="51" x14ac:dyDescent="0.2">
      <c r="O41" s="376" t="s">
        <v>173</v>
      </c>
      <c r="P41" s="423" t="s">
        <v>437</v>
      </c>
    </row>
    <row r="42" spans="1:16" ht="25.5" x14ac:dyDescent="0.2">
      <c r="O42" s="375" t="s">
        <v>438</v>
      </c>
      <c r="P42" s="422" t="s">
        <v>439</v>
      </c>
    </row>
    <row r="43" spans="1:16" ht="15" x14ac:dyDescent="0.2">
      <c r="O43" s="377" t="s">
        <v>440</v>
      </c>
      <c r="P43" s="424" t="s">
        <v>441</v>
      </c>
    </row>
    <row r="44" spans="1:16" ht="15" x14ac:dyDescent="0.2">
      <c r="O44" s="378" t="s">
        <v>442</v>
      </c>
      <c r="P44" s="425" t="s">
        <v>443</v>
      </c>
    </row>
    <row r="45" spans="1:16" ht="15" x14ac:dyDescent="0.2">
      <c r="O45" s="379" t="s">
        <v>444</v>
      </c>
      <c r="P45" s="426" t="s">
        <v>445</v>
      </c>
    </row>
    <row r="59" spans="1:1" ht="20.25" x14ac:dyDescent="0.2">
      <c r="A59" s="380" t="s">
        <v>1555</v>
      </c>
    </row>
    <row r="92" spans="1:1" ht="20.25" x14ac:dyDescent="0.2">
      <c r="A92" s="380" t="s">
        <v>1556</v>
      </c>
    </row>
    <row r="117" spans="1:1" ht="20.25" x14ac:dyDescent="0.2">
      <c r="A117" s="380" t="s">
        <v>1557</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9F81-95DC-4E2A-9DE1-92EFF722C397}">
  <sheetPr>
    <tabColor theme="4" tint="0.79998168889431442"/>
  </sheetPr>
  <dimension ref="A1:AQ97"/>
  <sheetViews>
    <sheetView topLeftCell="A19" zoomScale="85" zoomScaleNormal="85" workbookViewId="0"/>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8" width="12.28515625" style="495" customWidth="1"/>
    <col min="19" max="19" width="9.140625" style="495"/>
    <col min="20" max="20" width="12.28515625" style="495" customWidth="1"/>
    <col min="21" max="21" width="11" style="495" bestFit="1" customWidth="1"/>
    <col min="22" max="22" width="17.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395</v>
      </c>
      <c r="G2" s="128" t="s">
        <v>1550</v>
      </c>
      <c r="H2" s="128"/>
      <c r="J2" s="525"/>
      <c r="K2" s="525"/>
      <c r="Y2" s="371" t="s">
        <v>448</v>
      </c>
      <c r="Z2" s="604" t="s">
        <v>449</v>
      </c>
    </row>
    <row r="3" spans="2:40" ht="18" x14ac:dyDescent="0.25">
      <c r="B3" s="353" t="s">
        <v>450</v>
      </c>
      <c r="C3" s="352" t="s">
        <v>126</v>
      </c>
      <c r="D3" s="577" t="s">
        <v>451</v>
      </c>
      <c r="F3" s="615" t="s">
        <v>221</v>
      </c>
      <c r="G3" s="501">
        <v>0.3</v>
      </c>
      <c r="H3"/>
      <c r="Y3" s="604" t="s">
        <v>452</v>
      </c>
      <c r="Z3" s="495">
        <f>53.11/1000</f>
        <v>5.3109999999999997E-2</v>
      </c>
      <c r="AA3" s="138"/>
    </row>
    <row r="4" spans="2:40" ht="51" x14ac:dyDescent="0.25">
      <c r="B4" s="497" t="s">
        <v>453</v>
      </c>
      <c r="C4" s="396" t="str">
        <f>INDEX('Typology Baseline - climate adj'!$D4:$D$8,MATCH($C$3,'Typology Baseline - climate adj'!$A$4:$A$8,0))</f>
        <v>NYC</v>
      </c>
      <c r="F4" s="616" t="s">
        <v>510</v>
      </c>
      <c r="G4" s="501">
        <v>0.3</v>
      </c>
      <c r="H4"/>
      <c r="Y4" s="498" t="s">
        <v>454</v>
      </c>
      <c r="Z4" s="499">
        <f>INDEX(Readme!$K$30:$K$33,MATCH(C4,Readme!$D$30:$D$33,0))</f>
        <v>7.5999999999999998E-2</v>
      </c>
      <c r="AA4" s="500" t="s">
        <v>455</v>
      </c>
    </row>
    <row r="5" spans="2:40" ht="25.5" x14ac:dyDescent="0.25">
      <c r="B5" s="622"/>
      <c r="F5" s="616" t="s">
        <v>511</v>
      </c>
      <c r="G5" s="501">
        <v>0</v>
      </c>
      <c r="H5"/>
      <c r="Y5" s="498" t="s">
        <v>456</v>
      </c>
      <c r="Z5" s="499">
        <f>IF(Z4/2&lt;Z6,Z6,Z4/2)</f>
        <v>3.7999999999999999E-2</v>
      </c>
      <c r="AA5" s="224" t="str">
        <f>TEXT((Z4-Z5)/Z4,"##%")&amp;" lower than today"</f>
        <v>50% lower than today</v>
      </c>
    </row>
    <row r="6" spans="2:40" ht="38.25" x14ac:dyDescent="0.25">
      <c r="B6" s="622"/>
      <c r="F6" s="616" t="s">
        <v>512</v>
      </c>
      <c r="G6" s="501">
        <v>0</v>
      </c>
      <c r="H6"/>
      <c r="Y6" s="498" t="s">
        <v>457</v>
      </c>
      <c r="Z6" s="499">
        <f>Readme!L32</f>
        <v>2.6955815986857323E-3</v>
      </c>
      <c r="AA6" s="557" t="s">
        <v>1501</v>
      </c>
    </row>
    <row r="7" spans="2:40" ht="15" x14ac:dyDescent="0.25">
      <c r="B7" s="623" t="s">
        <v>1551</v>
      </c>
      <c r="C7" s="501">
        <v>0</v>
      </c>
      <c r="F7" s="616" t="s">
        <v>173</v>
      </c>
      <c r="G7" s="501">
        <v>0</v>
      </c>
      <c r="H7"/>
    </row>
    <row r="8" spans="2:40" ht="14.25" x14ac:dyDescent="0.2">
      <c r="B8" s="138"/>
      <c r="C8" s="138"/>
      <c r="D8" s="138"/>
    </row>
    <row r="9" spans="2:40" ht="18" x14ac:dyDescent="0.25">
      <c r="B9" s="576" t="s">
        <v>458</v>
      </c>
      <c r="C9" s="502" t="s">
        <v>459</v>
      </c>
      <c r="D9" s="502" t="s">
        <v>459</v>
      </c>
      <c r="E9" s="502" t="s">
        <v>460</v>
      </c>
      <c r="F9" s="502" t="s">
        <v>460</v>
      </c>
      <c r="G9" s="502" t="s">
        <v>461</v>
      </c>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City</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City: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510" t="s">
        <v>478</v>
      </c>
      <c r="AC11" s="511" t="s">
        <v>479</v>
      </c>
      <c r="AD11" s="512" t="s">
        <v>480</v>
      </c>
      <c r="AE11" s="510" t="s">
        <v>481</v>
      </c>
      <c r="AF11" s="513" t="s">
        <v>482</v>
      </c>
      <c r="AG11" s="558" t="s">
        <v>1502</v>
      </c>
      <c r="AI11" s="506"/>
      <c r="AJ11" s="506"/>
      <c r="AK11" s="506"/>
      <c r="AL11" s="506"/>
      <c r="AM11" s="506"/>
      <c r="AN11" s="506"/>
    </row>
    <row r="12" spans="2:40" ht="15" x14ac:dyDescent="0.25">
      <c r="B12" s="367" t="s">
        <v>442</v>
      </c>
      <c r="C12" s="587"/>
      <c r="D12" s="587"/>
      <c r="E12" s="588"/>
      <c r="F12" s="588"/>
      <c r="G12" s="587" t="b">
        <v>1</v>
      </c>
      <c r="H12" s="587" t="b">
        <v>1</v>
      </c>
      <c r="J12" s="138" t="str">
        <f>B36</f>
        <v>MF-New-Tall</v>
      </c>
      <c r="K12" s="514">
        <f>H36</f>
        <v>57.581701831419394</v>
      </c>
      <c r="L12" s="515">
        <f>G36</f>
        <v>14.456499073215941</v>
      </c>
      <c r="M12" s="268">
        <f>F36</f>
        <v>72.038200904635332</v>
      </c>
      <c r="N12" s="514">
        <f t="shared" ref="N12:O14" si="0">V36</f>
        <v>46.352984217484988</v>
      </c>
      <c r="O12" s="515">
        <f t="shared" si="0"/>
        <v>10.119549351251157</v>
      </c>
      <c r="P12" s="268">
        <f t="shared" ref="P12:P14" si="1">X36</f>
        <v>56.472533568736146</v>
      </c>
      <c r="Q12" s="514">
        <v>0</v>
      </c>
      <c r="R12" s="515">
        <f t="shared" ref="R12:R14" si="2">Z36+AA36</f>
        <v>27.225304279625234</v>
      </c>
      <c r="S12" s="268">
        <f t="shared" ref="S12:S14" si="3">AB36</f>
        <v>27.225304279625234</v>
      </c>
      <c r="T12" s="514">
        <v>0</v>
      </c>
      <c r="U12" s="515">
        <f t="shared" ref="U12:U14" si="4">AJ36+AK36</f>
        <v>22.702332535752412</v>
      </c>
      <c r="V12" s="268">
        <f>U12+T12</f>
        <v>22.702332535752412</v>
      </c>
      <c r="W12" s="263"/>
      <c r="Y12" s="516" t="str">
        <f t="shared" ref="Y12:Y30" si="5">J12</f>
        <v>MF-New-Tall</v>
      </c>
      <c r="Z12" s="517">
        <f t="shared" ref="Z12:Z30" si="6">K12*$Z$3+L12*$Z$4</f>
        <v>4.1568581138310954</v>
      </c>
      <c r="AA12" s="518">
        <f t="shared" ref="AA12:AA30" si="7">N12*$Z$3+O12*$Z$5</f>
        <v>2.8463498671381715</v>
      </c>
      <c r="AB12" s="519">
        <f t="shared" ref="AB12:AB30" si="8">Q12*$Z$3+R12*$Z$6</f>
        <v>7.3388029234777705E-2</v>
      </c>
      <c r="AC12" s="520">
        <f t="shared" ref="AC12:AC14" si="9">AN36</f>
        <v>7.3658771933047458</v>
      </c>
      <c r="AD12" s="521">
        <f t="shared" ref="AD12:AD14" si="10">AO36</f>
        <v>44.329401789998791</v>
      </c>
      <c r="AE12" s="522">
        <f t="shared" ref="AE12:AE14" si="11">AD12/AC12-1</f>
        <v>5.0182108154466984</v>
      </c>
      <c r="AF12" s="523">
        <f t="shared" ref="AF12:AF14" si="12">(AD12-AC12)/(Z12-AB12)</f>
        <v>9.051988585915689</v>
      </c>
      <c r="AG12" s="523">
        <f t="shared" ref="AG12:AG14" si="13">(AD12-AC12)/(N12)</f>
        <v>0.79743570388615648</v>
      </c>
      <c r="AI12" s="506"/>
      <c r="AJ12" s="524"/>
      <c r="AK12" s="524">
        <f>M12</f>
        <v>72.038200904635332</v>
      </c>
      <c r="AL12" s="524">
        <f>P12</f>
        <v>56.472533568736146</v>
      </c>
      <c r="AM12" s="524">
        <f>S12</f>
        <v>27.225304279625234</v>
      </c>
      <c r="AN12" s="524">
        <f>V12</f>
        <v>22.702332535752412</v>
      </c>
    </row>
    <row r="13" spans="2:40" ht="15" x14ac:dyDescent="0.25">
      <c r="B13" s="367" t="s">
        <v>440</v>
      </c>
      <c r="C13" s="587"/>
      <c r="D13" s="587"/>
      <c r="E13" s="588"/>
      <c r="F13" s="588"/>
      <c r="G13" s="587" t="b">
        <v>1</v>
      </c>
      <c r="H13" s="587" t="b">
        <v>1</v>
      </c>
      <c r="J13" s="138" t="str">
        <f>B37</f>
        <v>MF-Old-Tall</v>
      </c>
      <c r="K13" s="514">
        <f>H37</f>
        <v>67.138418409869999</v>
      </c>
      <c r="L13" s="515">
        <f>G37</f>
        <v>12.950133868808567</v>
      </c>
      <c r="M13" s="268">
        <f>F37</f>
        <v>80.088552278678563</v>
      </c>
      <c r="N13" s="514">
        <f t="shared" si="0"/>
        <v>53.042685822400408</v>
      </c>
      <c r="O13" s="515">
        <f t="shared" si="0"/>
        <v>9.0650937081659961</v>
      </c>
      <c r="P13" s="268">
        <f t="shared" si="1"/>
        <v>62.107779530566404</v>
      </c>
      <c r="Q13" s="514">
        <v>0</v>
      </c>
      <c r="R13" s="515">
        <f t="shared" si="2"/>
        <v>28.31155315011301</v>
      </c>
      <c r="S13" s="268">
        <f t="shared" si="3"/>
        <v>28.31155315011301</v>
      </c>
      <c r="T13" s="514">
        <v>0</v>
      </c>
      <c r="U13" s="515">
        <f t="shared" si="4"/>
        <v>20.954739484802385</v>
      </c>
      <c r="V13" s="268">
        <f t="shared" ref="V13:V30" si="14">U13+T13</f>
        <v>20.954739484802385</v>
      </c>
      <c r="W13" s="263"/>
      <c r="Y13" s="516" t="str">
        <f t="shared" si="5"/>
        <v>MF-Old-Tall</v>
      </c>
      <c r="Z13" s="517">
        <f t="shared" si="6"/>
        <v>4.5499315757776468</v>
      </c>
      <c r="AA13" s="518">
        <f t="shared" si="7"/>
        <v>3.1615706049379932</v>
      </c>
      <c r="AB13" s="519">
        <f t="shared" si="8"/>
        <v>7.6316101701657715E-2</v>
      </c>
      <c r="AC13" s="520">
        <f t="shared" si="9"/>
        <v>8.3140909898288307</v>
      </c>
      <c r="AD13" s="521">
        <f t="shared" si="10"/>
        <v>54.164120759967069</v>
      </c>
      <c r="AE13" s="522">
        <f t="shared" si="11"/>
        <v>5.5147375493279505</v>
      </c>
      <c r="AF13" s="523">
        <f t="shared" si="12"/>
        <v>10.248987655696629</v>
      </c>
      <c r="AG13" s="523">
        <f t="shared" si="13"/>
        <v>0.86439872075209567</v>
      </c>
      <c r="AI13" s="506"/>
      <c r="AJ13" s="524"/>
      <c r="AK13" s="524">
        <f t="shared" ref="AK13:AK30" si="15">M13</f>
        <v>80.088552278678563</v>
      </c>
      <c r="AL13" s="524">
        <f t="shared" ref="AL13:AL30" si="16">P13</f>
        <v>62.107779530566404</v>
      </c>
      <c r="AM13" s="524">
        <f t="shared" ref="AM13:AM30" si="17">S13</f>
        <v>28.31155315011301</v>
      </c>
      <c r="AN13" s="524">
        <f t="shared" ref="AN13:AN30" si="18">V13</f>
        <v>20.954739484802385</v>
      </c>
    </row>
    <row r="14" spans="2:40" ht="15" x14ac:dyDescent="0.25">
      <c r="B14" s="367" t="s">
        <v>444</v>
      </c>
      <c r="C14" s="587"/>
      <c r="D14" s="587"/>
      <c r="E14" s="588"/>
      <c r="F14" s="588"/>
      <c r="G14" s="587" t="b">
        <v>1</v>
      </c>
      <c r="H14" s="587" t="b">
        <v>1</v>
      </c>
      <c r="J14" s="138" t="str">
        <f>B38</f>
        <v>MF-Short</v>
      </c>
      <c r="K14" s="514">
        <f>H38</f>
        <v>53.493751459372646</v>
      </c>
      <c r="L14" s="515">
        <f>G38</f>
        <v>14.86400932494004</v>
      </c>
      <c r="M14" s="268">
        <f>F38</f>
        <v>68.357760784312688</v>
      </c>
      <c r="N14" s="514">
        <f t="shared" si="0"/>
        <v>42.69190161281842</v>
      </c>
      <c r="O14" s="515">
        <f t="shared" si="0"/>
        <v>10.404806527458028</v>
      </c>
      <c r="P14" s="268">
        <f t="shared" si="1"/>
        <v>53.096708140276448</v>
      </c>
      <c r="Q14" s="514">
        <v>0</v>
      </c>
      <c r="R14" s="515">
        <f t="shared" si="2"/>
        <v>26.101582598899661</v>
      </c>
      <c r="S14" s="268">
        <f t="shared" si="3"/>
        <v>26.101582598899661</v>
      </c>
      <c r="T14" s="514">
        <v>0</v>
      </c>
      <c r="U14" s="515">
        <f t="shared" si="4"/>
        <v>21.204201380139175</v>
      </c>
      <c r="V14" s="268">
        <f t="shared" si="14"/>
        <v>21.204201380139175</v>
      </c>
      <c r="W14" s="263"/>
      <c r="Y14" s="516" t="str">
        <f t="shared" si="5"/>
        <v>MF-Short</v>
      </c>
      <c r="Z14" s="517">
        <f t="shared" si="6"/>
        <v>3.9707178487027237</v>
      </c>
      <c r="AA14" s="518">
        <f t="shared" si="7"/>
        <v>2.6627495427001913</v>
      </c>
      <c r="AB14" s="519">
        <f t="shared" si="8"/>
        <v>7.0358945750169641E-2</v>
      </c>
      <c r="AC14" s="520">
        <f t="shared" si="9"/>
        <v>6.9481277056301245</v>
      </c>
      <c r="AD14" s="521">
        <f t="shared" si="10"/>
        <v>42.252012603206772</v>
      </c>
      <c r="AE14" s="522">
        <f t="shared" si="11"/>
        <v>5.0810644814385926</v>
      </c>
      <c r="AF14" s="523">
        <f t="shared" si="12"/>
        <v>9.0514452069658944</v>
      </c>
      <c r="AG14" s="523">
        <f t="shared" si="13"/>
        <v>0.82694571016664464</v>
      </c>
      <c r="AI14" s="506"/>
      <c r="AJ14" s="524"/>
      <c r="AK14" s="524">
        <f t="shared" si="15"/>
        <v>68.357760784312688</v>
      </c>
      <c r="AL14" s="524">
        <f t="shared" si="16"/>
        <v>53.096708140276448</v>
      </c>
      <c r="AM14" s="524">
        <f t="shared" si="17"/>
        <v>26.101582598899661</v>
      </c>
      <c r="AN14" s="524">
        <f t="shared" si="18"/>
        <v>21.204201380139175</v>
      </c>
    </row>
    <row r="15" spans="2:40" ht="15" x14ac:dyDescent="0.25">
      <c r="B15" s="367" t="s">
        <v>111</v>
      </c>
      <c r="C15" s="587"/>
      <c r="D15" s="587"/>
      <c r="E15" s="588"/>
      <c r="F15" s="588"/>
      <c r="G15" s="587" t="b">
        <v>1</v>
      </c>
      <c r="H15" s="587" t="b">
        <v>1</v>
      </c>
      <c r="J15" s="138" t="str">
        <f t="shared" ref="J15:J30" si="19">B39</f>
        <v>Education</v>
      </c>
      <c r="K15" s="514">
        <f t="shared" ref="K15:K30" si="20">H39</f>
        <v>71.506049579437828</v>
      </c>
      <c r="L15" s="515">
        <f t="shared" ref="L15:L30" si="21">G39</f>
        <v>30.857831325301206</v>
      </c>
      <c r="M15" s="268">
        <f t="shared" ref="M15:M30" si="22">F39</f>
        <v>102.36388090473903</v>
      </c>
      <c r="N15" s="514">
        <f t="shared" ref="N15:P30" si="23">V39</f>
        <v>56.273205240012501</v>
      </c>
      <c r="O15" s="515">
        <f t="shared" si="23"/>
        <v>21.600481927710842</v>
      </c>
      <c r="P15" s="268">
        <f t="shared" si="23"/>
        <v>77.873687167723347</v>
      </c>
      <c r="Q15" s="514">
        <v>0</v>
      </c>
      <c r="R15" s="515">
        <f t="shared" ref="R15:R30" si="24">Z39+AA39</f>
        <v>45.813890542340076</v>
      </c>
      <c r="S15" s="268">
        <f t="shared" ref="S15:S30" si="25">AB39</f>
        <v>45.813890542340076</v>
      </c>
      <c r="T15" s="514">
        <v>0</v>
      </c>
      <c r="U15" s="515">
        <f t="shared" ref="U15:U30" si="26">AJ39+AK39</f>
        <v>37.608033435569162</v>
      </c>
      <c r="V15" s="268">
        <f t="shared" si="14"/>
        <v>37.608033435569162</v>
      </c>
      <c r="W15" s="263"/>
      <c r="Y15" s="516" t="str">
        <f t="shared" si="5"/>
        <v>Education</v>
      </c>
      <c r="Z15" s="517">
        <f t="shared" si="6"/>
        <v>6.1428814738868347</v>
      </c>
      <c r="AA15" s="518">
        <f t="shared" si="7"/>
        <v>3.8094882435500756</v>
      </c>
      <c r="AB15" s="519">
        <f t="shared" si="8"/>
        <v>0.12349508031013422</v>
      </c>
      <c r="AC15" s="520">
        <f t="shared" ref="AC15:AD30" si="27">AN39</f>
        <v>13.206219106029637</v>
      </c>
      <c r="AD15" s="521">
        <f t="shared" si="27"/>
        <v>61.258365757046874</v>
      </c>
      <c r="AE15" s="522">
        <f>AD15/AC15-1</f>
        <v>3.638599834306687</v>
      </c>
      <c r="AF15" s="523">
        <f>(AD15-AC15)/(Z15-AB15)</f>
        <v>7.9828978419285024</v>
      </c>
      <c r="AG15" s="523">
        <f t="shared" ref="AG15:AG30" si="28">(AD15-AC15)/(N15)</f>
        <v>0.85390811570211111</v>
      </c>
      <c r="AI15" s="506"/>
      <c r="AJ15" s="524"/>
      <c r="AK15" s="524">
        <f t="shared" si="15"/>
        <v>102.36388090473903</v>
      </c>
      <c r="AL15" s="524">
        <f t="shared" si="16"/>
        <v>77.873687167723347</v>
      </c>
      <c r="AM15" s="524">
        <f t="shared" si="17"/>
        <v>45.813890542340076</v>
      </c>
      <c r="AN15" s="524">
        <f t="shared" si="18"/>
        <v>37.608033435569162</v>
      </c>
    </row>
    <row r="16" spans="2:40" ht="15" x14ac:dyDescent="0.25">
      <c r="B16" s="367" t="s">
        <v>393</v>
      </c>
      <c r="C16" s="587"/>
      <c r="D16" s="587"/>
      <c r="E16" s="588"/>
      <c r="F16" s="588"/>
      <c r="G16" s="587" t="b">
        <v>1</v>
      </c>
      <c r="H16" s="587" t="b">
        <v>1</v>
      </c>
      <c r="J16" s="138" t="str">
        <f t="shared" si="19"/>
        <v>Food sales</v>
      </c>
      <c r="K16" s="514">
        <f t="shared" si="20"/>
        <v>129.81018527302092</v>
      </c>
      <c r="L16" s="515">
        <f t="shared" si="21"/>
        <v>146.96506024096382</v>
      </c>
      <c r="M16" s="268">
        <f t="shared" si="22"/>
        <v>276.77524551398471</v>
      </c>
      <c r="N16" s="514">
        <f t="shared" si="23"/>
        <v>106.21321382377957</v>
      </c>
      <c r="O16" s="515">
        <f t="shared" si="23"/>
        <v>102.87554216867467</v>
      </c>
      <c r="P16" s="268">
        <f t="shared" si="23"/>
        <v>209.08875599245425</v>
      </c>
      <c r="Q16" s="514">
        <v>0</v>
      </c>
      <c r="R16" s="515">
        <f t="shared" si="24"/>
        <v>150.44673016803225</v>
      </c>
      <c r="S16" s="268">
        <f t="shared" si="25"/>
        <v>150.44673016803225</v>
      </c>
      <c r="T16" s="514">
        <v>0</v>
      </c>
      <c r="U16" s="515">
        <f t="shared" si="26"/>
        <v>135.99565815259871</v>
      </c>
      <c r="V16" s="268">
        <f t="shared" si="14"/>
        <v>135.99565815259871</v>
      </c>
      <c r="W16" s="263"/>
      <c r="Y16" s="516" t="str">
        <f t="shared" si="5"/>
        <v>Food sales</v>
      </c>
      <c r="Z16" s="517">
        <f t="shared" si="6"/>
        <v>18.063563518163392</v>
      </c>
      <c r="AA16" s="518">
        <f t="shared" si="7"/>
        <v>9.5502543885905702</v>
      </c>
      <c r="AB16" s="519">
        <f t="shared" si="8"/>
        <v>0.40554143742338539</v>
      </c>
      <c r="AC16" s="520">
        <f t="shared" si="27"/>
        <v>42.62223597635554</v>
      </c>
      <c r="AD16" s="521">
        <f t="shared" si="27"/>
        <v>114.93470270641069</v>
      </c>
      <c r="AE16" s="522">
        <f>AD16/AC16-1</f>
        <v>1.6965901734993469</v>
      </c>
      <c r="AF16" s="523">
        <f>(AD16-AC16)/(Z16-AB16)</f>
        <v>4.0951623233571528</v>
      </c>
      <c r="AG16" s="523">
        <f t="shared" si="28"/>
        <v>0.68082363885561537</v>
      </c>
      <c r="AI16" s="506"/>
      <c r="AJ16" s="524"/>
      <c r="AK16" s="524">
        <f t="shared" si="15"/>
        <v>276.77524551398471</v>
      </c>
      <c r="AL16" s="524">
        <f t="shared" si="16"/>
        <v>209.08875599245425</v>
      </c>
      <c r="AM16" s="524">
        <f t="shared" si="17"/>
        <v>150.44673016803225</v>
      </c>
      <c r="AN16" s="524">
        <f t="shared" si="18"/>
        <v>135.99565815259871</v>
      </c>
    </row>
    <row r="17" spans="2:40" ht="15" x14ac:dyDescent="0.25">
      <c r="B17" s="367" t="s">
        <v>403</v>
      </c>
      <c r="C17" s="587"/>
      <c r="D17" s="587"/>
      <c r="E17" s="588"/>
      <c r="F17" s="588"/>
      <c r="G17" s="587" t="b">
        <v>1</v>
      </c>
      <c r="H17" s="587" t="b">
        <v>1</v>
      </c>
      <c r="J17" s="138" t="str">
        <f t="shared" si="19"/>
        <v>Food service</v>
      </c>
      <c r="K17" s="514">
        <f t="shared" si="20"/>
        <v>232.41931407119426</v>
      </c>
      <c r="L17" s="515">
        <f t="shared" si="21"/>
        <v>82.80963855421686</v>
      </c>
      <c r="M17" s="268">
        <f t="shared" si="22"/>
        <v>315.22895262541113</v>
      </c>
      <c r="N17" s="514">
        <f t="shared" si="23"/>
        <v>217.11378380264267</v>
      </c>
      <c r="O17" s="515">
        <f t="shared" si="23"/>
        <v>57.966746987951801</v>
      </c>
      <c r="P17" s="268">
        <f t="shared" si="23"/>
        <v>275.08053079059448</v>
      </c>
      <c r="Q17" s="514">
        <v>0</v>
      </c>
      <c r="R17" s="515">
        <f t="shared" si="24"/>
        <v>170.9943369631456</v>
      </c>
      <c r="S17" s="268">
        <f t="shared" si="25"/>
        <v>170.9943369631456</v>
      </c>
      <c r="T17" s="514">
        <v>0</v>
      </c>
      <c r="U17" s="515">
        <f t="shared" si="26"/>
        <v>162.73420769596044</v>
      </c>
      <c r="V17" s="268">
        <f t="shared" si="14"/>
        <v>162.73420769596044</v>
      </c>
      <c r="W17" s="263"/>
      <c r="Y17" s="516" t="str">
        <f t="shared" si="5"/>
        <v>Food service</v>
      </c>
      <c r="Z17" s="517">
        <f t="shared" si="6"/>
        <v>18.63732230044161</v>
      </c>
      <c r="AA17" s="518">
        <f t="shared" si="7"/>
        <v>13.73364944330052</v>
      </c>
      <c r="AB17" s="519">
        <f t="shared" si="8"/>
        <v>0.46092918819732281</v>
      </c>
      <c r="AC17" s="520">
        <f t="shared" si="27"/>
        <v>113.43910787324208</v>
      </c>
      <c r="AD17" s="521">
        <f t="shared" si="27"/>
        <v>161.6712130562056</v>
      </c>
      <c r="AE17" s="522">
        <f t="shared" ref="AE17:AE30" si="29">AD17/AC17-1</f>
        <v>0.42518057561646661</v>
      </c>
      <c r="AF17" s="523">
        <f t="shared" ref="AF17:AF30" si="30">(AD17-AC17)/(Z17-AB17)</f>
        <v>2.6535575504511177</v>
      </c>
      <c r="AG17" s="523">
        <f t="shared" si="28"/>
        <v>0.22215128094679934</v>
      </c>
      <c r="AI17" s="506"/>
      <c r="AJ17" s="524"/>
      <c r="AK17" s="524">
        <f t="shared" si="15"/>
        <v>315.22895262541113</v>
      </c>
      <c r="AL17" s="524">
        <f t="shared" si="16"/>
        <v>275.08053079059448</v>
      </c>
      <c r="AM17" s="524">
        <f t="shared" si="17"/>
        <v>170.9943369631456</v>
      </c>
      <c r="AN17" s="524">
        <f t="shared" si="18"/>
        <v>162.73420769596044</v>
      </c>
    </row>
    <row r="18" spans="2:40" ht="15" x14ac:dyDescent="0.25">
      <c r="B18" s="367" t="s">
        <v>483</v>
      </c>
      <c r="C18" s="587"/>
      <c r="D18" s="587"/>
      <c r="E18" s="588"/>
      <c r="F18" s="588"/>
      <c r="G18" s="587" t="b">
        <v>1</v>
      </c>
      <c r="H18" s="587" t="b">
        <v>1</v>
      </c>
      <c r="J18" s="138" t="str">
        <f t="shared" si="19"/>
        <v>Health care Inpatient</v>
      </c>
      <c r="K18" s="514">
        <f t="shared" si="20"/>
        <v>234.59920894360627</v>
      </c>
      <c r="L18" s="515">
        <f t="shared" si="21"/>
        <v>86.251807228915652</v>
      </c>
      <c r="M18" s="268">
        <f t="shared" si="22"/>
        <v>320.85101617252189</v>
      </c>
      <c r="N18" s="514">
        <f t="shared" si="23"/>
        <v>194.93358832071729</v>
      </c>
      <c r="O18" s="515">
        <f t="shared" si="23"/>
        <v>60.376265060240954</v>
      </c>
      <c r="P18" s="268">
        <f t="shared" si="23"/>
        <v>255.30985338095826</v>
      </c>
      <c r="Q18" s="514">
        <v>0</v>
      </c>
      <c r="R18" s="515">
        <f t="shared" si="24"/>
        <v>152.42238209114493</v>
      </c>
      <c r="S18" s="268">
        <f t="shared" si="25"/>
        <v>152.42238209114493</v>
      </c>
      <c r="T18" s="514">
        <v>0</v>
      </c>
      <c r="U18" s="515">
        <f t="shared" si="26"/>
        <v>125.97338535938782</v>
      </c>
      <c r="V18" s="268">
        <f t="shared" si="14"/>
        <v>125.97338535938782</v>
      </c>
      <c r="W18" s="263"/>
      <c r="Y18" s="516" t="str">
        <f t="shared" si="5"/>
        <v>Health care Inpatient</v>
      </c>
      <c r="Z18" s="517">
        <f t="shared" si="6"/>
        <v>19.014701336392516</v>
      </c>
      <c r="AA18" s="518">
        <f t="shared" si="7"/>
        <v>12.647220948002452</v>
      </c>
      <c r="AB18" s="519">
        <f t="shared" si="8"/>
        <v>0.41086696839273595</v>
      </c>
      <c r="AC18" s="520">
        <f t="shared" si="27"/>
        <v>56.470792355206456</v>
      </c>
      <c r="AD18" s="521">
        <f t="shared" si="27"/>
        <v>183.02970340467627</v>
      </c>
      <c r="AE18" s="522">
        <f t="shared" si="29"/>
        <v>2.2411392822930956</v>
      </c>
      <c r="AF18" s="523">
        <f t="shared" si="30"/>
        <v>6.802840132094607</v>
      </c>
      <c r="AG18" s="523">
        <f t="shared" si="28"/>
        <v>0.64924117049159813</v>
      </c>
      <c r="AI18" s="506"/>
      <c r="AJ18" s="524"/>
      <c r="AK18" s="524">
        <f t="shared" si="15"/>
        <v>320.85101617252189</v>
      </c>
      <c r="AL18" s="524">
        <f t="shared" si="16"/>
        <v>255.30985338095826</v>
      </c>
      <c r="AM18" s="524">
        <f t="shared" si="17"/>
        <v>152.42238209114493</v>
      </c>
      <c r="AN18" s="524">
        <f t="shared" si="18"/>
        <v>125.97338535938782</v>
      </c>
    </row>
    <row r="19" spans="2:40" ht="15" x14ac:dyDescent="0.25">
      <c r="B19" s="367" t="s">
        <v>484</v>
      </c>
      <c r="C19" s="587"/>
      <c r="D19" s="587"/>
      <c r="E19" s="588"/>
      <c r="F19" s="588"/>
      <c r="G19" s="587" t="b">
        <v>1</v>
      </c>
      <c r="H19" s="587" t="b">
        <v>1</v>
      </c>
      <c r="J19" s="138" t="str">
        <f t="shared" si="19"/>
        <v>Health care Outpatient</v>
      </c>
      <c r="K19" s="514">
        <f t="shared" si="20"/>
        <v>87.527211181873398</v>
      </c>
      <c r="L19" s="515">
        <f t="shared" si="21"/>
        <v>56.601204819277108</v>
      </c>
      <c r="M19" s="268">
        <f t="shared" si="22"/>
        <v>144.1284160011505</v>
      </c>
      <c r="N19" s="514">
        <f t="shared" si="23"/>
        <v>63.112475650478665</v>
      </c>
      <c r="O19" s="515">
        <f t="shared" si="23"/>
        <v>39.620843373493976</v>
      </c>
      <c r="P19" s="268">
        <f t="shared" si="23"/>
        <v>102.73331902397264</v>
      </c>
      <c r="Q19" s="514">
        <v>0</v>
      </c>
      <c r="R19" s="515">
        <f t="shared" si="24"/>
        <v>60.364277783678645</v>
      </c>
      <c r="S19" s="268">
        <f t="shared" si="25"/>
        <v>60.364277783678645</v>
      </c>
      <c r="T19" s="514">
        <v>0</v>
      </c>
      <c r="U19" s="515">
        <f t="shared" si="26"/>
        <v>45.302608586903915</v>
      </c>
      <c r="V19" s="268">
        <f t="shared" si="14"/>
        <v>45.302608586903915</v>
      </c>
      <c r="W19" s="263"/>
      <c r="Y19" s="516" t="str">
        <f t="shared" si="5"/>
        <v>Health care Outpatient</v>
      </c>
      <c r="Z19" s="517">
        <f t="shared" si="6"/>
        <v>8.9502617521343559</v>
      </c>
      <c r="AA19" s="518">
        <f t="shared" si="7"/>
        <v>4.8574956299896925</v>
      </c>
      <c r="AB19" s="519">
        <f t="shared" si="8"/>
        <v>0.16271683641163812</v>
      </c>
      <c r="AC19" s="520">
        <f t="shared" si="27"/>
        <v>8.7124182307415765</v>
      </c>
      <c r="AD19" s="521">
        <f t="shared" si="27"/>
        <v>85.163467570570631</v>
      </c>
      <c r="AE19" s="522">
        <f t="shared" si="29"/>
        <v>8.7749517200716109</v>
      </c>
      <c r="AF19" s="523">
        <f t="shared" si="30"/>
        <v>8.6999326971339244</v>
      </c>
      <c r="AG19" s="523">
        <f t="shared" si="28"/>
        <v>1.2113460698835576</v>
      </c>
      <c r="AI19" s="506"/>
      <c r="AJ19" s="524"/>
      <c r="AK19" s="524">
        <f t="shared" si="15"/>
        <v>144.1284160011505</v>
      </c>
      <c r="AL19" s="524">
        <f t="shared" si="16"/>
        <v>102.73331902397264</v>
      </c>
      <c r="AM19" s="524">
        <f t="shared" si="17"/>
        <v>60.364277783678645</v>
      </c>
      <c r="AN19" s="524">
        <f t="shared" si="18"/>
        <v>45.302608586903915</v>
      </c>
    </row>
    <row r="20" spans="2:40" ht="15" x14ac:dyDescent="0.25">
      <c r="B20" s="367" t="s">
        <v>416</v>
      </c>
      <c r="C20" s="587"/>
      <c r="D20" s="587"/>
      <c r="E20" s="588"/>
      <c r="F20" s="588"/>
      <c r="G20" s="587" t="b">
        <v>1</v>
      </c>
      <c r="H20" s="587" t="b">
        <v>1</v>
      </c>
      <c r="J20" s="138" t="str">
        <f t="shared" si="19"/>
        <v>Lodging</v>
      </c>
      <c r="K20" s="514">
        <f t="shared" si="20"/>
        <v>64.112648648009312</v>
      </c>
      <c r="L20" s="515">
        <f t="shared" si="21"/>
        <v>40.121686746987955</v>
      </c>
      <c r="M20" s="268">
        <f t="shared" si="22"/>
        <v>104.23433539499726</v>
      </c>
      <c r="N20" s="514">
        <f t="shared" si="23"/>
        <v>57.062163322748923</v>
      </c>
      <c r="O20" s="515">
        <f t="shared" si="23"/>
        <v>28.085180722891565</v>
      </c>
      <c r="P20" s="268">
        <f t="shared" si="23"/>
        <v>85.147344045640494</v>
      </c>
      <c r="Q20" s="514">
        <v>0</v>
      </c>
      <c r="R20" s="515">
        <f t="shared" si="24"/>
        <v>53.820918292143503</v>
      </c>
      <c r="S20" s="268">
        <f t="shared" si="25"/>
        <v>53.820918292143503</v>
      </c>
      <c r="T20" s="514">
        <v>0</v>
      </c>
      <c r="U20" s="515">
        <f t="shared" si="26"/>
        <v>51.724555915949082</v>
      </c>
      <c r="V20" s="268">
        <f t="shared" si="14"/>
        <v>51.724555915949082</v>
      </c>
      <c r="W20" s="263"/>
      <c r="Y20" s="516" t="str">
        <f t="shared" si="5"/>
        <v>Lodging</v>
      </c>
      <c r="Z20" s="517">
        <f t="shared" si="6"/>
        <v>6.4542709624668593</v>
      </c>
      <c r="AA20" s="518">
        <f t="shared" si="7"/>
        <v>4.097808361541075</v>
      </c>
      <c r="AB20" s="519">
        <f t="shared" si="8"/>
        <v>0.14507867697267035</v>
      </c>
      <c r="AC20" s="520">
        <f t="shared" si="27"/>
        <v>10.88721125628455</v>
      </c>
      <c r="AD20" s="521">
        <f t="shared" si="27"/>
        <v>36.500692139452653</v>
      </c>
      <c r="AE20" s="522">
        <f t="shared" si="29"/>
        <v>2.3526209127597242</v>
      </c>
      <c r="AF20" s="523">
        <f t="shared" si="30"/>
        <v>4.0597083943783847</v>
      </c>
      <c r="AG20" s="523">
        <f t="shared" si="28"/>
        <v>0.44886978326243721</v>
      </c>
      <c r="AI20" s="506"/>
      <c r="AJ20" s="524"/>
      <c r="AK20" s="524">
        <f t="shared" si="15"/>
        <v>104.23433539499726</v>
      </c>
      <c r="AL20" s="524">
        <f t="shared" si="16"/>
        <v>85.147344045640494</v>
      </c>
      <c r="AM20" s="524">
        <f t="shared" si="17"/>
        <v>53.820918292143503</v>
      </c>
      <c r="AN20" s="524">
        <f t="shared" si="18"/>
        <v>51.724555915949082</v>
      </c>
    </row>
    <row r="21" spans="2:40" ht="15" x14ac:dyDescent="0.25">
      <c r="B21" s="367" t="s">
        <v>485</v>
      </c>
      <c r="C21" s="587"/>
      <c r="D21" s="587"/>
      <c r="E21" s="588"/>
      <c r="F21" s="588"/>
      <c r="G21" s="587" t="b">
        <v>1</v>
      </c>
      <c r="H21" s="587" t="b">
        <v>1</v>
      </c>
      <c r="J21" s="138" t="str">
        <f t="shared" si="19"/>
        <v>Mercantile Enclosed and strip malls</v>
      </c>
      <c r="K21" s="514">
        <f t="shared" si="20"/>
        <v>83.667554146276274</v>
      </c>
      <c r="L21" s="515">
        <f t="shared" si="21"/>
        <v>64.189156626506033</v>
      </c>
      <c r="M21" s="268">
        <f t="shared" si="22"/>
        <v>147.85671077278232</v>
      </c>
      <c r="N21" s="514">
        <f t="shared" si="23"/>
        <v>72.495971554476412</v>
      </c>
      <c r="O21" s="515">
        <f t="shared" si="23"/>
        <v>44.932409638554219</v>
      </c>
      <c r="P21" s="268">
        <f t="shared" si="23"/>
        <v>117.42838119303063</v>
      </c>
      <c r="Q21" s="514">
        <v>0</v>
      </c>
      <c r="R21" s="515">
        <f t="shared" si="24"/>
        <v>80.39118462074552</v>
      </c>
      <c r="S21" s="268">
        <f t="shared" si="25"/>
        <v>80.39118462074552</v>
      </c>
      <c r="T21" s="514">
        <v>0</v>
      </c>
      <c r="U21" s="515">
        <f t="shared" si="26"/>
        <v>75.217736285534954</v>
      </c>
      <c r="V21" s="268">
        <f t="shared" si="14"/>
        <v>75.217736285534954</v>
      </c>
      <c r="W21" s="263"/>
      <c r="Y21" s="516" t="str">
        <f t="shared" si="5"/>
        <v>Mercantile Enclosed and strip malls</v>
      </c>
      <c r="Z21" s="517">
        <f t="shared" si="6"/>
        <v>9.3219597043231914</v>
      </c>
      <c r="AA21" s="518">
        <f t="shared" si="7"/>
        <v>5.5576926155233028</v>
      </c>
      <c r="AB21" s="519">
        <f t="shared" si="8"/>
        <v>0.21670099796022907</v>
      </c>
      <c r="AC21" s="520">
        <f t="shared" si="27"/>
        <v>26.082765073129714</v>
      </c>
      <c r="AD21" s="521">
        <f t="shared" si="27"/>
        <v>61.911907888731974</v>
      </c>
      <c r="AE21" s="522">
        <f t="shared" si="29"/>
        <v>1.3736711853649748</v>
      </c>
      <c r="AF21" s="523">
        <f t="shared" si="30"/>
        <v>3.9349944873684963</v>
      </c>
      <c r="AG21" s="523">
        <f t="shared" si="28"/>
        <v>0.49422253467806537</v>
      </c>
      <c r="AI21" s="506"/>
      <c r="AJ21" s="524"/>
      <c r="AK21" s="524">
        <f t="shared" si="15"/>
        <v>147.85671077278232</v>
      </c>
      <c r="AL21" s="524">
        <f t="shared" si="16"/>
        <v>117.42838119303063</v>
      </c>
      <c r="AM21" s="524">
        <f t="shared" si="17"/>
        <v>80.39118462074552</v>
      </c>
      <c r="AN21" s="524">
        <f t="shared" si="18"/>
        <v>75.217736285534954</v>
      </c>
    </row>
    <row r="22" spans="2:40" ht="15" x14ac:dyDescent="0.25">
      <c r="B22" s="367" t="s">
        <v>486</v>
      </c>
      <c r="C22" s="587"/>
      <c r="D22" s="587"/>
      <c r="E22" s="588"/>
      <c r="F22" s="588"/>
      <c r="G22" s="587" t="b">
        <v>1</v>
      </c>
      <c r="H22" s="587" t="b">
        <v>1</v>
      </c>
      <c r="J22" s="138" t="str">
        <f t="shared" si="19"/>
        <v>Mercantile Retail (other than mall)</v>
      </c>
      <c r="K22" s="514">
        <f t="shared" si="20"/>
        <v>52.345468778220059</v>
      </c>
      <c r="L22" s="515">
        <f t="shared" si="21"/>
        <v>45.195180722891564</v>
      </c>
      <c r="M22" s="268">
        <f t="shared" si="22"/>
        <v>97.540649501111631</v>
      </c>
      <c r="N22" s="514">
        <f t="shared" si="23"/>
        <v>40.393276026443324</v>
      </c>
      <c r="O22" s="515">
        <f t="shared" si="23"/>
        <v>31.636626506024093</v>
      </c>
      <c r="P22" s="268">
        <f t="shared" si="23"/>
        <v>72.029902532467418</v>
      </c>
      <c r="Q22" s="514">
        <v>0</v>
      </c>
      <c r="R22" s="515">
        <f t="shared" si="24"/>
        <v>47.442907009581035</v>
      </c>
      <c r="S22" s="268">
        <f t="shared" si="25"/>
        <v>47.442907009581035</v>
      </c>
      <c r="T22" s="514">
        <v>0</v>
      </c>
      <c r="U22" s="515">
        <f t="shared" si="26"/>
        <v>41.686603088254415</v>
      </c>
      <c r="V22" s="268">
        <f t="shared" si="14"/>
        <v>41.686603088254415</v>
      </c>
      <c r="W22" s="263"/>
      <c r="Y22" s="516" t="str">
        <f t="shared" si="5"/>
        <v>Mercantile Retail (other than mall)</v>
      </c>
      <c r="Z22" s="517">
        <f t="shared" si="6"/>
        <v>6.2149015817510254</v>
      </c>
      <c r="AA22" s="518">
        <f t="shared" si="7"/>
        <v>3.3474786969933206</v>
      </c>
      <c r="AB22" s="519">
        <f t="shared" si="8"/>
        <v>0.12788622712318498</v>
      </c>
      <c r="AC22" s="520">
        <f t="shared" si="27"/>
        <v>11.025832588795208</v>
      </c>
      <c r="AD22" s="521">
        <f t="shared" si="27"/>
        <v>48.225332611819574</v>
      </c>
      <c r="AE22" s="522">
        <f t="shared" si="29"/>
        <v>3.3738495232394197</v>
      </c>
      <c r="AF22" s="523">
        <f t="shared" si="30"/>
        <v>6.1112873642978922</v>
      </c>
      <c r="AG22" s="523">
        <f t="shared" si="28"/>
        <v>0.920932979010463</v>
      </c>
      <c r="AI22" s="506"/>
      <c r="AJ22" s="524"/>
      <c r="AK22" s="524">
        <f t="shared" si="15"/>
        <v>97.540649501111631</v>
      </c>
      <c r="AL22" s="524">
        <f t="shared" si="16"/>
        <v>72.029902532467418</v>
      </c>
      <c r="AM22" s="524">
        <f t="shared" si="17"/>
        <v>47.442907009581035</v>
      </c>
      <c r="AN22" s="524">
        <f t="shared" si="18"/>
        <v>41.686603088254415</v>
      </c>
    </row>
    <row r="23" spans="2:40" ht="15" x14ac:dyDescent="0.25">
      <c r="B23" s="367" t="s">
        <v>425</v>
      </c>
      <c r="C23" s="587"/>
      <c r="D23" s="587"/>
      <c r="E23" s="588"/>
      <c r="F23" s="588"/>
      <c r="G23" s="587" t="b">
        <v>1</v>
      </c>
      <c r="H23" s="587" t="b">
        <v>1</v>
      </c>
      <c r="J23" s="138" t="str">
        <f t="shared" si="19"/>
        <v>Office</v>
      </c>
      <c r="K23" s="514">
        <f t="shared" si="20"/>
        <v>69.167246224402703</v>
      </c>
      <c r="L23" s="515">
        <f t="shared" si="21"/>
        <v>48.195180722891571</v>
      </c>
      <c r="M23" s="268">
        <f t="shared" si="22"/>
        <v>117.36242694729427</v>
      </c>
      <c r="N23" s="514">
        <f t="shared" si="23"/>
        <v>54.536471771298061</v>
      </c>
      <c r="O23" s="515">
        <f t="shared" si="23"/>
        <v>33.736626506024095</v>
      </c>
      <c r="P23" s="268">
        <f t="shared" si="23"/>
        <v>88.273098277322163</v>
      </c>
      <c r="Q23" s="514">
        <v>0</v>
      </c>
      <c r="R23" s="515">
        <f t="shared" si="24"/>
        <v>59.438426493569857</v>
      </c>
      <c r="S23" s="268">
        <f t="shared" si="25"/>
        <v>59.438426493569857</v>
      </c>
      <c r="T23" s="514">
        <v>0</v>
      </c>
      <c r="U23" s="515">
        <f t="shared" si="26"/>
        <v>51.682114901918389</v>
      </c>
      <c r="V23" s="268">
        <f t="shared" si="14"/>
        <v>51.682114901918389</v>
      </c>
      <c r="W23" s="263"/>
      <c r="Y23" s="516" t="str">
        <f t="shared" si="5"/>
        <v>Office</v>
      </c>
      <c r="Z23" s="517">
        <f t="shared" si="6"/>
        <v>7.3363061819177862</v>
      </c>
      <c r="AA23" s="518">
        <f t="shared" si="7"/>
        <v>4.1784238230025554</v>
      </c>
      <c r="AB23" s="519">
        <f t="shared" si="8"/>
        <v>0.16022112871090141</v>
      </c>
      <c r="AC23" s="520">
        <f t="shared" si="27"/>
        <v>14.194198015634003</v>
      </c>
      <c r="AD23" s="521">
        <f t="shared" si="27"/>
        <v>59.837584364822227</v>
      </c>
      <c r="AE23" s="522">
        <f t="shared" si="29"/>
        <v>3.2156368608437722</v>
      </c>
      <c r="AF23" s="523">
        <f t="shared" si="30"/>
        <v>6.3604856980883859</v>
      </c>
      <c r="AG23" s="523">
        <f t="shared" si="28"/>
        <v>0.83693324607789965</v>
      </c>
      <c r="AI23" s="506"/>
      <c r="AJ23" s="524"/>
      <c r="AK23" s="524">
        <f t="shared" si="15"/>
        <v>117.36242694729427</v>
      </c>
      <c r="AL23" s="524">
        <f t="shared" si="16"/>
        <v>88.273098277322163</v>
      </c>
      <c r="AM23" s="524">
        <f t="shared" si="17"/>
        <v>59.438426493569857</v>
      </c>
      <c r="AN23" s="524">
        <f t="shared" si="18"/>
        <v>51.682114901918389</v>
      </c>
    </row>
    <row r="24" spans="2:40" ht="15" x14ac:dyDescent="0.25">
      <c r="B24" s="367" t="s">
        <v>173</v>
      </c>
      <c r="C24" s="587"/>
      <c r="D24" s="587"/>
      <c r="E24" s="588"/>
      <c r="F24" s="588"/>
      <c r="G24" s="587" t="b">
        <v>1</v>
      </c>
      <c r="H24" s="587" t="b">
        <v>1</v>
      </c>
      <c r="J24" s="138" t="str">
        <f t="shared" si="19"/>
        <v>Other</v>
      </c>
      <c r="K24" s="514">
        <f t="shared" si="20"/>
        <v>98.118390305573584</v>
      </c>
      <c r="L24" s="515">
        <f t="shared" si="21"/>
        <v>88.069879518072298</v>
      </c>
      <c r="M24" s="268">
        <f t="shared" si="22"/>
        <v>186.1882698236459</v>
      </c>
      <c r="N24" s="514">
        <f t="shared" si="23"/>
        <v>69.784030827064583</v>
      </c>
      <c r="O24" s="515">
        <f t="shared" si="23"/>
        <v>61.648915662650602</v>
      </c>
      <c r="P24" s="268">
        <f t="shared" si="23"/>
        <v>131.43294648971519</v>
      </c>
      <c r="Q24" s="514">
        <v>0</v>
      </c>
      <c r="R24" s="515">
        <f t="shared" si="24"/>
        <v>84.306815970008188</v>
      </c>
      <c r="S24" s="268">
        <f t="shared" si="25"/>
        <v>84.306815970008188</v>
      </c>
      <c r="T24" s="514">
        <v>0</v>
      </c>
      <c r="U24" s="515">
        <f t="shared" si="26"/>
        <v>70.542459691414024</v>
      </c>
      <c r="V24" s="268">
        <f t="shared" si="14"/>
        <v>70.542459691414024</v>
      </c>
      <c r="W24" s="263"/>
      <c r="Y24" s="516" t="str">
        <f t="shared" si="5"/>
        <v>Other</v>
      </c>
      <c r="Z24" s="517">
        <f t="shared" si="6"/>
        <v>11.904378552502507</v>
      </c>
      <c r="AA24" s="518">
        <f t="shared" si="7"/>
        <v>6.0488886724061226</v>
      </c>
      <c r="AB24" s="519">
        <f t="shared" si="8"/>
        <v>0.22725590177253849</v>
      </c>
      <c r="AC24" s="520">
        <f t="shared" si="27"/>
        <v>9.7519959867968975</v>
      </c>
      <c r="AD24" s="521">
        <f t="shared" si="27"/>
        <v>98.039744751177551</v>
      </c>
      <c r="AE24" s="522">
        <f t="shared" si="29"/>
        <v>9.0533003586047727</v>
      </c>
      <c r="AF24" s="523">
        <f t="shared" si="30"/>
        <v>7.560745177140153</v>
      </c>
      <c r="AG24" s="523">
        <f t="shared" si="28"/>
        <v>1.2651569093675756</v>
      </c>
      <c r="AI24" s="506"/>
      <c r="AJ24" s="524"/>
      <c r="AK24" s="524">
        <f t="shared" si="15"/>
        <v>186.1882698236459</v>
      </c>
      <c r="AL24" s="524">
        <f t="shared" si="16"/>
        <v>131.43294648971519</v>
      </c>
      <c r="AM24" s="524">
        <f t="shared" si="17"/>
        <v>84.306815970008188</v>
      </c>
      <c r="AN24" s="524">
        <f t="shared" si="18"/>
        <v>70.542459691414024</v>
      </c>
    </row>
    <row r="25" spans="2:40" ht="15" x14ac:dyDescent="0.25">
      <c r="B25" s="367" t="s">
        <v>427</v>
      </c>
      <c r="C25" s="587"/>
      <c r="D25" s="587"/>
      <c r="E25" s="588"/>
      <c r="F25" s="588"/>
      <c r="G25" s="587" t="b">
        <v>1</v>
      </c>
      <c r="H25" s="587" t="b">
        <v>1</v>
      </c>
      <c r="J25" s="138" t="str">
        <f t="shared" si="19"/>
        <v>Public assembly</v>
      </c>
      <c r="K25" s="514">
        <f t="shared" si="20"/>
        <v>88.699758432739912</v>
      </c>
      <c r="L25" s="515">
        <f t="shared" si="21"/>
        <v>36.736144578313251</v>
      </c>
      <c r="M25" s="268">
        <f t="shared" si="22"/>
        <v>125.43590301105317</v>
      </c>
      <c r="N25" s="514">
        <f t="shared" si="23"/>
        <v>67.96040635711843</v>
      </c>
      <c r="O25" s="515">
        <f t="shared" si="23"/>
        <v>25.715301204819273</v>
      </c>
      <c r="P25" s="268">
        <f t="shared" si="23"/>
        <v>93.675707561937699</v>
      </c>
      <c r="Q25" s="514">
        <v>0</v>
      </c>
      <c r="R25" s="515">
        <f t="shared" si="24"/>
        <v>54.424028284648045</v>
      </c>
      <c r="S25" s="268">
        <f t="shared" si="25"/>
        <v>54.424028284648045</v>
      </c>
      <c r="T25" s="514">
        <v>0</v>
      </c>
      <c r="U25" s="515">
        <f t="shared" si="26"/>
        <v>42.106645401517341</v>
      </c>
      <c r="V25" s="268">
        <f t="shared" si="14"/>
        <v>42.106645401517341</v>
      </c>
      <c r="W25" s="263"/>
      <c r="Y25" s="516" t="str">
        <f t="shared" si="5"/>
        <v>Public assembly</v>
      </c>
      <c r="Z25" s="517">
        <f t="shared" si="6"/>
        <v>7.502791158314623</v>
      </c>
      <c r="AA25" s="518">
        <f t="shared" si="7"/>
        <v>4.5865586274096923</v>
      </c>
      <c r="AB25" s="519">
        <f t="shared" si="8"/>
        <v>0.14670440917044911</v>
      </c>
      <c r="AC25" s="520">
        <f t="shared" si="27"/>
        <v>18.832580747899225</v>
      </c>
      <c r="AD25" s="521">
        <f t="shared" si="27"/>
        <v>82.876424200402226</v>
      </c>
      <c r="AE25" s="522">
        <f t="shared" si="29"/>
        <v>3.4006939521364909</v>
      </c>
      <c r="AF25" s="523">
        <f t="shared" si="30"/>
        <v>8.706238199264579</v>
      </c>
      <c r="AG25" s="523">
        <f t="shared" si="28"/>
        <v>0.94236993104433964</v>
      </c>
      <c r="AI25" s="506"/>
      <c r="AJ25" s="524"/>
      <c r="AK25" s="524">
        <f t="shared" si="15"/>
        <v>125.43590301105317</v>
      </c>
      <c r="AL25" s="524">
        <f t="shared" si="16"/>
        <v>93.675707561937699</v>
      </c>
      <c r="AM25" s="524">
        <f t="shared" si="17"/>
        <v>54.424028284648045</v>
      </c>
      <c r="AN25" s="524">
        <f t="shared" si="18"/>
        <v>42.106645401517341</v>
      </c>
    </row>
    <row r="26" spans="2:40" ht="15" x14ac:dyDescent="0.25">
      <c r="B26" s="367" t="s">
        <v>488</v>
      </c>
      <c r="C26" s="587"/>
      <c r="D26" s="587"/>
      <c r="E26" s="588"/>
      <c r="F26" s="588"/>
      <c r="G26" s="587" t="b">
        <v>1</v>
      </c>
      <c r="H26" s="587" t="b">
        <v>1</v>
      </c>
      <c r="J26" s="138" t="str">
        <f t="shared" si="19"/>
        <v>Public order and safety</v>
      </c>
      <c r="K26" s="514">
        <f t="shared" si="20"/>
        <v>80.081126559906224</v>
      </c>
      <c r="L26" s="515">
        <f t="shared" si="21"/>
        <v>40.077108433734949</v>
      </c>
      <c r="M26" s="268">
        <f t="shared" si="22"/>
        <v>120.15823499364117</v>
      </c>
      <c r="N26" s="514">
        <f t="shared" si="23"/>
        <v>66.198854880359718</v>
      </c>
      <c r="O26" s="515">
        <f t="shared" si="23"/>
        <v>28.053975903614461</v>
      </c>
      <c r="P26" s="268">
        <f t="shared" si="23"/>
        <v>94.252830783974176</v>
      </c>
      <c r="Q26" s="514">
        <v>0</v>
      </c>
      <c r="R26" s="515">
        <f t="shared" si="24"/>
        <v>53.20041707514288</v>
      </c>
      <c r="S26" s="268">
        <f t="shared" si="25"/>
        <v>53.20041707514288</v>
      </c>
      <c r="T26" s="514">
        <v>0</v>
      </c>
      <c r="U26" s="515">
        <f t="shared" si="26"/>
        <v>46.002987554414808</v>
      </c>
      <c r="V26" s="268">
        <f t="shared" si="14"/>
        <v>46.002987554414808</v>
      </c>
      <c r="W26" s="263"/>
      <c r="Y26" s="516" t="str">
        <f t="shared" si="5"/>
        <v>Public order and safety</v>
      </c>
      <c r="Z26" s="517">
        <f t="shared" si="6"/>
        <v>7.2989688725604758</v>
      </c>
      <c r="AA26" s="518">
        <f t="shared" si="7"/>
        <v>4.5818722670332539</v>
      </c>
      <c r="AB26" s="519">
        <f t="shared" si="8"/>
        <v>0.14340606531016137</v>
      </c>
      <c r="AC26" s="520">
        <f t="shared" si="27"/>
        <v>11.208722761508932</v>
      </c>
      <c r="AD26" s="521">
        <f t="shared" si="27"/>
        <v>57.738985619037962</v>
      </c>
      <c r="AE26" s="522">
        <f t="shared" si="29"/>
        <v>4.1512546833003361</v>
      </c>
      <c r="AF26" s="523">
        <f t="shared" si="30"/>
        <v>6.5026698962634537</v>
      </c>
      <c r="AG26" s="523">
        <f t="shared" si="28"/>
        <v>0.70288621973329501</v>
      </c>
      <c r="AI26" s="506"/>
      <c r="AJ26" s="524"/>
      <c r="AK26" s="524">
        <f t="shared" si="15"/>
        <v>120.15823499364117</v>
      </c>
      <c r="AL26" s="524">
        <f t="shared" si="16"/>
        <v>94.252830783974176</v>
      </c>
      <c r="AM26" s="524">
        <f t="shared" si="17"/>
        <v>53.20041707514288</v>
      </c>
      <c r="AN26" s="524">
        <f t="shared" si="18"/>
        <v>46.002987554414808</v>
      </c>
    </row>
    <row r="27" spans="2:40" ht="15" x14ac:dyDescent="0.25">
      <c r="B27" s="367" t="s">
        <v>431</v>
      </c>
      <c r="C27" s="587"/>
      <c r="D27" s="587"/>
      <c r="E27" s="588"/>
      <c r="F27" s="588"/>
      <c r="G27" s="587" t="b">
        <v>1</v>
      </c>
      <c r="H27" s="587" t="b">
        <v>1</v>
      </c>
      <c r="J27" s="138" t="str">
        <f t="shared" si="19"/>
        <v>Religious worship</v>
      </c>
      <c r="K27" s="514">
        <f t="shared" si="20"/>
        <v>59.070083875878119</v>
      </c>
      <c r="L27" s="515">
        <f t="shared" si="21"/>
        <v>14.381927710843375</v>
      </c>
      <c r="M27" s="268">
        <f t="shared" si="22"/>
        <v>73.452011586721497</v>
      </c>
      <c r="N27" s="514">
        <f t="shared" si="23"/>
        <v>43.918265387711514</v>
      </c>
      <c r="O27" s="515">
        <f t="shared" si="23"/>
        <v>10.067349397590361</v>
      </c>
      <c r="P27" s="268">
        <f t="shared" si="23"/>
        <v>53.985614785301877</v>
      </c>
      <c r="Q27" s="514">
        <v>0</v>
      </c>
      <c r="R27" s="515">
        <f t="shared" si="24"/>
        <v>26.597924747139679</v>
      </c>
      <c r="S27" s="268">
        <f t="shared" si="25"/>
        <v>26.597924747139679</v>
      </c>
      <c r="T27" s="514">
        <v>0</v>
      </c>
      <c r="U27" s="515">
        <f t="shared" si="26"/>
        <v>18.452566942641944</v>
      </c>
      <c r="V27" s="268">
        <f t="shared" si="14"/>
        <v>18.452566942641944</v>
      </c>
      <c r="W27" s="263"/>
      <c r="Y27" s="516" t="str">
        <f t="shared" si="5"/>
        <v>Religious worship</v>
      </c>
      <c r="Z27" s="517">
        <f t="shared" si="6"/>
        <v>4.2302386606719828</v>
      </c>
      <c r="AA27" s="518">
        <f t="shared" si="7"/>
        <v>2.7150583518497919</v>
      </c>
      <c r="AB27" s="519">
        <f t="shared" si="8"/>
        <v>7.1696876511617574E-2</v>
      </c>
      <c r="AC27" s="520">
        <f t="shared" si="27"/>
        <v>11.503072950089994</v>
      </c>
      <c r="AD27" s="521">
        <f t="shared" si="27"/>
        <v>58.164875847824</v>
      </c>
      <c r="AE27" s="522">
        <f t="shared" si="29"/>
        <v>4.0564641379040332</v>
      </c>
      <c r="AF27" s="523">
        <f t="shared" si="30"/>
        <v>11.220712768948479</v>
      </c>
      <c r="AG27" s="523">
        <f t="shared" si="28"/>
        <v>1.0624691682561338</v>
      </c>
      <c r="AJ27" s="524"/>
      <c r="AK27" s="524">
        <f t="shared" si="15"/>
        <v>73.452011586721497</v>
      </c>
      <c r="AL27" s="524">
        <f t="shared" si="16"/>
        <v>53.985614785301877</v>
      </c>
      <c r="AM27" s="524">
        <f t="shared" si="17"/>
        <v>26.597924747139679</v>
      </c>
      <c r="AN27" s="524">
        <f t="shared" si="18"/>
        <v>18.452566942641944</v>
      </c>
    </row>
    <row r="28" spans="2:40" ht="15" x14ac:dyDescent="0.25">
      <c r="B28" s="367" t="s">
        <v>433</v>
      </c>
      <c r="C28" s="587"/>
      <c r="D28" s="587"/>
      <c r="E28" s="588"/>
      <c r="F28" s="588"/>
      <c r="G28" s="587" t="b">
        <v>1</v>
      </c>
      <c r="H28" s="587" t="b">
        <v>1</v>
      </c>
      <c r="J28" s="138" t="str">
        <f t="shared" si="19"/>
        <v>Service</v>
      </c>
      <c r="K28" s="514">
        <f t="shared" si="20"/>
        <v>90.927519103746945</v>
      </c>
      <c r="L28" s="515">
        <f t="shared" si="21"/>
        <v>23.886746987951806</v>
      </c>
      <c r="M28" s="268">
        <f t="shared" si="22"/>
        <v>114.81426609169876</v>
      </c>
      <c r="N28" s="514">
        <f t="shared" si="23"/>
        <v>70.259857717860683</v>
      </c>
      <c r="O28" s="515">
        <f t="shared" si="23"/>
        <v>16.720722891566265</v>
      </c>
      <c r="P28" s="268">
        <f t="shared" si="23"/>
        <v>86.980580609426951</v>
      </c>
      <c r="Q28" s="514">
        <v>0</v>
      </c>
      <c r="R28" s="515">
        <f t="shared" si="24"/>
        <v>41.167023560776556</v>
      </c>
      <c r="S28" s="268">
        <f t="shared" si="25"/>
        <v>41.167023560776556</v>
      </c>
      <c r="T28" s="514">
        <v>0</v>
      </c>
      <c r="U28" s="515">
        <f t="shared" si="26"/>
        <v>28.903169725981488</v>
      </c>
      <c r="V28" s="268">
        <f t="shared" si="14"/>
        <v>28.903169725981488</v>
      </c>
      <c r="W28" s="263"/>
      <c r="Y28" s="516" t="str">
        <f t="shared" si="5"/>
        <v>Service</v>
      </c>
      <c r="Z28" s="517">
        <f t="shared" si="6"/>
        <v>6.6445533106843371</v>
      </c>
      <c r="AA28" s="518">
        <f t="shared" si="7"/>
        <v>4.3668885132750983</v>
      </c>
      <c r="AB28" s="519">
        <f t="shared" si="8"/>
        <v>0.11096907118309128</v>
      </c>
      <c r="AC28" s="520">
        <f t="shared" si="27"/>
        <v>9.1222083526975872</v>
      </c>
      <c r="AD28" s="521">
        <f t="shared" si="27"/>
        <v>75.965555297675806</v>
      </c>
      <c r="AE28" s="522">
        <f t="shared" si="29"/>
        <v>7.3275400386148313</v>
      </c>
      <c r="AF28" s="523">
        <f t="shared" si="30"/>
        <v>10.230731631322907</v>
      </c>
      <c r="AG28" s="523">
        <f t="shared" si="28"/>
        <v>0.9513732181667377</v>
      </c>
      <c r="AJ28" s="524"/>
      <c r="AK28" s="524">
        <f t="shared" si="15"/>
        <v>114.81426609169876</v>
      </c>
      <c r="AL28" s="524">
        <f t="shared" si="16"/>
        <v>86.980580609426951</v>
      </c>
      <c r="AM28" s="524">
        <f t="shared" si="17"/>
        <v>41.167023560776556</v>
      </c>
      <c r="AN28" s="524">
        <f t="shared" si="18"/>
        <v>28.903169725981488</v>
      </c>
    </row>
    <row r="29" spans="2:40" ht="15" x14ac:dyDescent="0.25">
      <c r="B29" s="367" t="s">
        <v>489</v>
      </c>
      <c r="C29" s="587"/>
      <c r="D29" s="587"/>
      <c r="E29" s="588"/>
      <c r="F29" s="588"/>
      <c r="G29" s="587" t="b">
        <v>1</v>
      </c>
      <c r="H29" s="587" t="b">
        <v>1</v>
      </c>
      <c r="J29" s="138" t="str">
        <f t="shared" si="19"/>
        <v>Warehouse and storage</v>
      </c>
      <c r="K29" s="514">
        <f t="shared" si="20"/>
        <v>45.618016029086583</v>
      </c>
      <c r="L29" s="515">
        <f t="shared" si="21"/>
        <v>20.266265060240968</v>
      </c>
      <c r="M29" s="268">
        <f t="shared" si="22"/>
        <v>65.884281089327544</v>
      </c>
      <c r="N29" s="514">
        <f t="shared" si="23"/>
        <v>36.171665952373644</v>
      </c>
      <c r="O29" s="515">
        <f t="shared" si="23"/>
        <v>14.186385542168678</v>
      </c>
      <c r="P29" s="268">
        <f t="shared" si="23"/>
        <v>50.358051494542323</v>
      </c>
      <c r="Q29" s="514">
        <v>0</v>
      </c>
      <c r="R29" s="515">
        <f t="shared" si="24"/>
        <v>31.779972685579246</v>
      </c>
      <c r="S29" s="268">
        <f t="shared" si="25"/>
        <v>31.779972685579246</v>
      </c>
      <c r="T29" s="514">
        <v>0</v>
      </c>
      <c r="U29" s="515">
        <f t="shared" si="26"/>
        <v>27.894697961633582</v>
      </c>
      <c r="V29" s="268">
        <f t="shared" si="14"/>
        <v>27.894697961633582</v>
      </c>
      <c r="W29" s="263"/>
      <c r="Y29" s="516" t="str">
        <f t="shared" si="5"/>
        <v>Warehouse and storage</v>
      </c>
      <c r="Z29" s="517">
        <f t="shared" si="6"/>
        <v>3.9630089758831017</v>
      </c>
      <c r="AA29" s="518">
        <f t="shared" si="7"/>
        <v>2.4601598293329738</v>
      </c>
      <c r="AB29" s="519">
        <f t="shared" si="8"/>
        <v>8.5665509577982607E-2</v>
      </c>
      <c r="AC29" s="520">
        <f t="shared" si="27"/>
        <v>9.9464868865430951</v>
      </c>
      <c r="AD29" s="521">
        <f t="shared" si="27"/>
        <v>39.322293194239229</v>
      </c>
      <c r="AE29" s="522">
        <f t="shared" si="29"/>
        <v>2.9533851140385612</v>
      </c>
      <c r="AF29" s="523">
        <f t="shared" si="30"/>
        <v>7.5762713731650795</v>
      </c>
      <c r="AG29" s="523">
        <f t="shared" si="28"/>
        <v>0.81212201689506214</v>
      </c>
      <c r="AJ29" s="524"/>
      <c r="AK29" s="524">
        <f t="shared" si="15"/>
        <v>65.884281089327544</v>
      </c>
      <c r="AL29" s="524">
        <f t="shared" si="16"/>
        <v>50.358051494542323</v>
      </c>
      <c r="AM29" s="524">
        <f t="shared" si="17"/>
        <v>31.779972685579246</v>
      </c>
      <c r="AN29" s="524">
        <f t="shared" si="18"/>
        <v>27.894697961633582</v>
      </c>
    </row>
    <row r="30" spans="2:40" ht="15" x14ac:dyDescent="0.25">
      <c r="B30" s="367" t="s">
        <v>438</v>
      </c>
      <c r="C30" s="587"/>
      <c r="D30" s="587"/>
      <c r="E30" s="588"/>
      <c r="F30" s="588"/>
      <c r="G30" s="587" t="b">
        <v>1</v>
      </c>
      <c r="H30" s="587" t="b">
        <v>1</v>
      </c>
      <c r="J30" s="138" t="str">
        <f t="shared" si="19"/>
        <v>Vacant</v>
      </c>
      <c r="K30" s="514">
        <f t="shared" si="20"/>
        <v>33.48205032552687</v>
      </c>
      <c r="L30" s="515">
        <f t="shared" si="21"/>
        <v>13.772289156626506</v>
      </c>
      <c r="M30" s="268">
        <f t="shared" si="22"/>
        <v>47.254339482153377</v>
      </c>
      <c r="N30" s="514">
        <f t="shared" si="23"/>
        <v>24.100274301172366</v>
      </c>
      <c r="O30" s="515">
        <f t="shared" si="23"/>
        <v>9.6406024096385536</v>
      </c>
      <c r="P30" s="268">
        <f t="shared" si="23"/>
        <v>33.740876710810923</v>
      </c>
      <c r="Q30" s="514">
        <v>0</v>
      </c>
      <c r="R30" s="515">
        <f t="shared" si="24"/>
        <v>17.549533304752345</v>
      </c>
      <c r="S30" s="268">
        <f t="shared" si="25"/>
        <v>17.549533304752345</v>
      </c>
      <c r="T30" s="514">
        <v>0</v>
      </c>
      <c r="U30" s="515">
        <f t="shared" si="26"/>
        <v>13.712473873234313</v>
      </c>
      <c r="V30" s="268">
        <f t="shared" si="14"/>
        <v>13.712473873234313</v>
      </c>
      <c r="W30" s="263"/>
      <c r="Y30" s="516" t="str">
        <f t="shared" si="5"/>
        <v>Vacant</v>
      </c>
      <c r="Z30" s="517">
        <f t="shared" si="6"/>
        <v>2.8249256686923463</v>
      </c>
      <c r="AA30" s="518">
        <f t="shared" si="7"/>
        <v>1.6463084597015292</v>
      </c>
      <c r="AB30" s="519">
        <f t="shared" si="8"/>
        <v>4.7306199041812831E-2</v>
      </c>
      <c r="AC30" s="520">
        <f t="shared" si="27"/>
        <v>3.3321448120345249</v>
      </c>
      <c r="AD30" s="521">
        <f t="shared" si="27"/>
        <v>32.690592283534045</v>
      </c>
      <c r="AE30" s="522">
        <f t="shared" si="29"/>
        <v>8.8106757441835128</v>
      </c>
      <c r="AF30" s="523">
        <f t="shared" si="30"/>
        <v>10.569643463506273</v>
      </c>
      <c r="AG30" s="523">
        <f t="shared" si="28"/>
        <v>1.2181789760820843</v>
      </c>
      <c r="AJ30" s="524"/>
      <c r="AK30" s="524">
        <f t="shared" si="15"/>
        <v>47.254339482153377</v>
      </c>
      <c r="AL30" s="524">
        <f t="shared" si="16"/>
        <v>33.740876710810923</v>
      </c>
      <c r="AM30" s="524">
        <f t="shared" si="17"/>
        <v>17.549533304752345</v>
      </c>
      <c r="AN30" s="524">
        <f t="shared" si="18"/>
        <v>13.712473873234313</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City</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31">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442</v>
      </c>
      <c r="C36" s="525">
        <f t="shared" ref="C36:C54" si="32">F12</f>
        <v>0</v>
      </c>
      <c r="D36" s="526" t="b">
        <f t="shared" ref="D36:D54" si="33">E12&gt;=D$34+0</f>
        <v>0</v>
      </c>
      <c r="E36" s="526" t="str">
        <f t="shared" ref="E36:E54" si="34">IF(D36=TRUE,"City","CBECS")</f>
        <v>CBECS</v>
      </c>
      <c r="F36" s="617">
        <f t="shared" ref="F36" si="35">G36+H36</f>
        <v>72.038200904635332</v>
      </c>
      <c r="G36" s="531">
        <f>IF(D36,D12,'Typology Baseline - climate adj'!H36*$I$57+'Typology Baseline - climate adj'!I36)</f>
        <v>14.456499073215941</v>
      </c>
      <c r="H36" s="531">
        <f>IF(D36,C12,SUM('Typology Baseline - climate adj'!C36*$K$57*$K$58*G12,'Typology Baseline - climate adj'!$D36*H12,'Typology Baseline - climate adj'!$E36:$F36))</f>
        <v>57.581701831419394</v>
      </c>
      <c r="I36" s="531">
        <f>'Typology Baseline - climate adj'!H36*$I$57/'Typology Baseline - climate adj'!G36*G36</f>
        <v>2.96632891085265</v>
      </c>
      <c r="J36" s="531">
        <f t="shared" ref="J36:J38" si="36">G36-I36</f>
        <v>11.490170162363292</v>
      </c>
      <c r="K36" s="531">
        <f>IF(G12,'Typology Baseline - climate adj'!C36*$K$57*$K$58*H36/SUM('Typology Baseline - climate adj'!C36*$K$57*$K$58,'Typology Baseline - climate adj'!D36*H12,'Typology Baseline - climate adj'!$E36:$F36),0)</f>
        <v>37.429058713114692</v>
      </c>
      <c r="L36" s="531">
        <f>IF(H12,($H36-$K36)/SUM('Typology Baseline - climate adj'!$D36:$F36)*'Typology Baseline - climate adj'!D36,0)</f>
        <v>17.767052094085393</v>
      </c>
      <c r="M36" s="531">
        <f>IF('Typology Baseline - climate adj'!E36=0,0,($H36-$K36-$L36)/SUM('Typology Baseline - climate adj'!$E36:$F36)*'Typology Baseline - climate adj'!E36)</f>
        <v>2.385591024219309</v>
      </c>
      <c r="N36" s="618">
        <f>IF('Typology Baseline - climate adj'!F36=0,0,($H36-$K36-$L36)/SUM('Typology Baseline - climate adj'!$E36:$F36)*'Typology Baseline - climate adj'!F36)</f>
        <v>0</v>
      </c>
      <c r="O36" s="612"/>
      <c r="P36" s="526"/>
      <c r="Q36" s="525">
        <f t="shared" ref="Q36:Q54" si="37">K36*(1-G$4)</f>
        <v>26.200341099180282</v>
      </c>
      <c r="R36" s="525">
        <f t="shared" ref="R36:R54" si="38">L36*(1-G$5)</f>
        <v>17.767052094085393</v>
      </c>
      <c r="S36" s="525">
        <f t="shared" ref="S36:S54" si="39">M36*(1-G$6)</f>
        <v>2.385591024219309</v>
      </c>
      <c r="T36" s="525">
        <f t="shared" ref="T36:T54" si="40">N36*(1-G$7)</f>
        <v>0</v>
      </c>
      <c r="U36" s="526"/>
      <c r="V36" s="525">
        <f t="shared" ref="V36:V38" si="41">SUM(Q36:T36)</f>
        <v>46.352984217484988</v>
      </c>
      <c r="W36" s="533">
        <f t="shared" ref="W36:W54" si="42">G36*(1-$G$3)</f>
        <v>10.119549351251157</v>
      </c>
      <c r="X36" s="533">
        <f t="shared" ref="X36:X38" si="43">W36+V36</f>
        <v>56.472533568736146</v>
      </c>
      <c r="Y36" s="526"/>
      <c r="Z36" s="525">
        <f>SUMPRODUCT(Q36:T36,'Electrification of Gas End Uses'!$D$4:$G$4)</f>
        <v>17.105754928374076</v>
      </c>
      <c r="AA36" s="533">
        <f t="shared" ref="AA36:AA38" si="44">W36</f>
        <v>10.119549351251157</v>
      </c>
      <c r="AB36" s="533">
        <f t="shared" ref="AB36:AB38" si="45">AA36+Z36</f>
        <v>27.225304279625234</v>
      </c>
      <c r="AD36" s="525">
        <f t="shared" ref="AD36:AD38" si="46">IF($AD$59&lt;Q36,$AD$59,Q36)</f>
        <v>9.8999999999999986</v>
      </c>
      <c r="AE36" s="538">
        <f t="shared" ref="AE36:AE38" si="47">R36</f>
        <v>17.767052094085393</v>
      </c>
      <c r="AF36" s="538">
        <f t="shared" ref="AF36:AF38" si="48">S36</f>
        <v>2.385591024219309</v>
      </c>
      <c r="AG36" s="538">
        <f t="shared" ref="AG36:AG38" si="49">T36</f>
        <v>0</v>
      </c>
      <c r="AH36" s="538">
        <f t="shared" ref="AH36:AH54" si="50">J36*(1-$G$3)</f>
        <v>8.0431191136543045</v>
      </c>
      <c r="AI36" s="539">
        <f t="shared" ref="AI36:AI38" si="51">IF(AND(AP36&gt;I36*0.7,AP36&lt;I36),AP36,I36*0.7)</f>
        <v>2.7695676454617213</v>
      </c>
      <c r="AJ36" s="525">
        <f>SUMPRODUCT(AD36:AG36,'Electrification of Gas End Uses'!$D$4:$G$4)</f>
        <v>11.889645776636385</v>
      </c>
      <c r="AK36" s="533">
        <f t="shared" ref="AK36:AK38" si="52">SUM(AH36:AI36)</f>
        <v>10.812686759116026</v>
      </c>
      <c r="AL36" s="533">
        <f t="shared" ref="AL36:AL38" si="53">AK36+AJ36</f>
        <v>22.702332535752412</v>
      </c>
      <c r="AN36" s="534">
        <f>SUMPRODUCT(K36:N36,'Electrification of Gas End Uses'!$D$5:$G$5)</f>
        <v>7.3658771933047458</v>
      </c>
      <c r="AO36" s="521">
        <f>SUMPRODUCT(K36:N36,'Electrification of Gas End Uses'!$D$6:$G$6)</f>
        <v>44.329401789998791</v>
      </c>
      <c r="AP36" s="540">
        <f>(AH$57+IF(AH36&gt;(AH$60),AH36-AH$60,0))*(1+$AH$59)/'Electrification of Gas End Uses'!$D$12</f>
        <v>2.7695676454617213</v>
      </c>
      <c r="AQ36" s="541">
        <f t="shared" ref="AQ36:AQ54" si="54">1-AI36/(I36*(1-$G$3))</f>
        <v>-0.33381203727174835</v>
      </c>
    </row>
    <row r="37" spans="1:43" ht="14.25" x14ac:dyDescent="0.2">
      <c r="B37" s="367" t="s">
        <v>440</v>
      </c>
      <c r="C37" s="525">
        <f t="shared" si="32"/>
        <v>0</v>
      </c>
      <c r="D37" s="526" t="b">
        <f t="shared" si="33"/>
        <v>0</v>
      </c>
      <c r="E37" s="526" t="str">
        <f t="shared" si="34"/>
        <v>CBECS</v>
      </c>
      <c r="F37" s="617">
        <f t="shared" ref="F37:F54" si="55">G37+H37</f>
        <v>80.088552278678563</v>
      </c>
      <c r="G37" s="531">
        <f>IF(D37,D13,'Typology Baseline - climate adj'!H37*$I$57+'Typology Baseline - climate adj'!I37)</f>
        <v>12.950133868808567</v>
      </c>
      <c r="H37" s="531">
        <f>IF(D37,C13,SUM('Typology Baseline - climate adj'!C37*$K$57*$K$58*G13,'Typology Baseline - climate adj'!$D37*H13,'Typology Baseline - climate adj'!$E37:$F37))</f>
        <v>67.138418409869999</v>
      </c>
      <c r="I37" s="531">
        <f>'Typology Baseline - climate adj'!H37*$I$57/'Typology Baseline - climate adj'!G37*G37</f>
        <v>2.427066588531726</v>
      </c>
      <c r="J37" s="531">
        <f t="shared" si="36"/>
        <v>10.523067280276841</v>
      </c>
      <c r="K37" s="531">
        <f>IF(G13,'Typology Baseline - climate adj'!C37*$K$57*$K$58*H37/SUM('Typology Baseline - climate adj'!C37*$K$57*$K$58,'Typology Baseline - climate adj'!$D37:$F37),0)</f>
        <v>46.98577529156529</v>
      </c>
      <c r="L37" s="531">
        <f>IF(H13,($H37-$K37)/SUM('Typology Baseline - climate adj'!$D37:$F37)*'Typology Baseline - climate adj'!D37,0)</f>
        <v>17.7670520940854</v>
      </c>
      <c r="M37" s="531">
        <f>IF('Typology Baseline - climate adj'!E37=0,0,($H37-$K37-$L37)/SUM('Typology Baseline - climate adj'!$E37:$F37)*'Typology Baseline - climate adj'!E37)</f>
        <v>2.385591024219309</v>
      </c>
      <c r="N37" s="618">
        <f>IF('Typology Baseline - climate adj'!F37=0,0,($H37-$K37-$L37)/SUM('Typology Baseline - climate adj'!$E37:$F37)*'Typology Baseline - climate adj'!F37)</f>
        <v>0</v>
      </c>
      <c r="O37" s="612"/>
      <c r="P37" s="526"/>
      <c r="Q37" s="525">
        <f t="shared" si="37"/>
        <v>32.890042704095698</v>
      </c>
      <c r="R37" s="525">
        <f t="shared" si="38"/>
        <v>17.7670520940854</v>
      </c>
      <c r="S37" s="525">
        <f t="shared" si="39"/>
        <v>2.385591024219309</v>
      </c>
      <c r="T37" s="525">
        <f t="shared" si="40"/>
        <v>0</v>
      </c>
      <c r="U37" s="526"/>
      <c r="V37" s="525">
        <f t="shared" si="41"/>
        <v>53.042685822400408</v>
      </c>
      <c r="W37" s="533">
        <f t="shared" si="42"/>
        <v>9.0650937081659961</v>
      </c>
      <c r="X37" s="533">
        <f t="shared" si="43"/>
        <v>62.107779530566404</v>
      </c>
      <c r="Y37" s="526"/>
      <c r="Z37" s="525">
        <f>SUMPRODUCT(Q37:T37,'Electrification of Gas End Uses'!$D$4:$G$4)</f>
        <v>19.246459441947014</v>
      </c>
      <c r="AA37" s="533">
        <f t="shared" si="44"/>
        <v>9.0650937081659961</v>
      </c>
      <c r="AB37" s="533">
        <f t="shared" si="45"/>
        <v>28.31155315011301</v>
      </c>
      <c r="AD37" s="525">
        <f t="shared" si="46"/>
        <v>9.8999999999999986</v>
      </c>
      <c r="AE37" s="538">
        <f t="shared" si="47"/>
        <v>17.7670520940854</v>
      </c>
      <c r="AF37" s="538">
        <f t="shared" si="48"/>
        <v>2.385591024219309</v>
      </c>
      <c r="AG37" s="538">
        <f t="shared" si="49"/>
        <v>0</v>
      </c>
      <c r="AH37" s="538">
        <f t="shared" si="50"/>
        <v>7.3661470961937878</v>
      </c>
      <c r="AI37" s="539">
        <f t="shared" si="51"/>
        <v>1.6989466119722081</v>
      </c>
      <c r="AJ37" s="525">
        <f>SUMPRODUCT(AD37:AG37,'Electrification of Gas End Uses'!$D$4:$G$4)</f>
        <v>11.889645776636389</v>
      </c>
      <c r="AK37" s="533">
        <f t="shared" si="52"/>
        <v>9.0650937081659961</v>
      </c>
      <c r="AL37" s="533">
        <f t="shared" si="53"/>
        <v>20.954739484802385</v>
      </c>
      <c r="AN37" s="534">
        <f>SUMPRODUCT(K37:N37,'Electrification of Gas End Uses'!$D$5:$G$5)</f>
        <v>8.3140909898288307</v>
      </c>
      <c r="AO37" s="521">
        <f>SUMPRODUCT(K37:N37,'Electrification of Gas End Uses'!$D$6:$G$6)</f>
        <v>54.164120759967069</v>
      </c>
      <c r="AP37" s="540">
        <f>(AH$57+IF(AH37&gt;(AH$60),AH37-AH$60,0))*(1+$AH$59)/'Electrification of Gas End Uses'!$D$12</f>
        <v>2.4987788384775147</v>
      </c>
      <c r="AQ37" s="541">
        <f t="shared" si="54"/>
        <v>0</v>
      </c>
    </row>
    <row r="38" spans="1:43" ht="14.25" x14ac:dyDescent="0.2">
      <c r="B38" s="367" t="s">
        <v>444</v>
      </c>
      <c r="C38" s="525">
        <f t="shared" si="32"/>
        <v>0</v>
      </c>
      <c r="D38" s="526" t="b">
        <f t="shared" si="33"/>
        <v>0</v>
      </c>
      <c r="E38" s="526" t="str">
        <f t="shared" si="34"/>
        <v>CBECS</v>
      </c>
      <c r="F38" s="617">
        <f t="shared" si="55"/>
        <v>68.357760784312688</v>
      </c>
      <c r="G38" s="531">
        <f>IF(D38,D14,'Typology Baseline - climate adj'!H38*$I$57+'Typology Baseline - climate adj'!I38)</f>
        <v>14.86400932494004</v>
      </c>
      <c r="H38" s="531">
        <f>IF(D38,C14,SUM('Typology Baseline - climate adj'!C38*$K$57*$K$58*G14,'Typology Baseline - climate adj'!$D38*H14,'Typology Baseline - climate adj'!$E38:$F38))</f>
        <v>53.493751459372646</v>
      </c>
      <c r="I38" s="531">
        <f>'Typology Baseline - climate adj'!H38*$I$57/'Typology Baseline - climate adj'!G38*G38</f>
        <v>2.5612949495456436</v>
      </c>
      <c r="J38" s="531">
        <f t="shared" si="36"/>
        <v>12.302714375394396</v>
      </c>
      <c r="K38" s="531">
        <f>IF(G14,'Typology Baseline - climate adj'!C38*$K$57*$K$58*H38/SUM('Typology Baseline - climate adj'!C38*$K$57*$K$58,'Typology Baseline - climate adj'!$D38:$F38),0)</f>
        <v>36.00616615518075</v>
      </c>
      <c r="L38" s="531">
        <f>IF(H14,($H38-$K38)/SUM('Typology Baseline - climate adj'!$D38:$F38)*'Typology Baseline - climate adj'!D38,0)</f>
        <v>15.101994279972587</v>
      </c>
      <c r="M38" s="531">
        <f>IF('Typology Baseline - climate adj'!E38=0,0,($H38-$K38-$L38)/SUM('Typology Baseline - climate adj'!$E38:$F38)*'Typology Baseline - climate adj'!E38)</f>
        <v>2.385591024219309</v>
      </c>
      <c r="N38" s="618">
        <f>IF('Typology Baseline - climate adj'!F38=0,0,($H38-$K38-$L38)/SUM('Typology Baseline - climate adj'!$E38:$F38)*'Typology Baseline - climate adj'!F38)</f>
        <v>0</v>
      </c>
      <c r="O38" s="612"/>
      <c r="P38" s="526"/>
      <c r="Q38" s="525">
        <f t="shared" si="37"/>
        <v>25.204316308626524</v>
      </c>
      <c r="R38" s="525">
        <f t="shared" si="38"/>
        <v>15.101994279972587</v>
      </c>
      <c r="S38" s="525">
        <f t="shared" si="39"/>
        <v>2.385591024219309</v>
      </c>
      <c r="T38" s="525">
        <f t="shared" si="40"/>
        <v>0</v>
      </c>
      <c r="U38" s="526"/>
      <c r="V38" s="525">
        <f t="shared" si="41"/>
        <v>42.69190161281842</v>
      </c>
      <c r="W38" s="533">
        <f t="shared" si="42"/>
        <v>10.404806527458028</v>
      </c>
      <c r="X38" s="533">
        <f t="shared" si="43"/>
        <v>53.096708140276448</v>
      </c>
      <c r="Y38" s="526"/>
      <c r="Z38" s="525">
        <f>SUMPRODUCT(Q38:T38,'Electrification of Gas End Uses'!$D$4:$G$4)</f>
        <v>15.696776071441635</v>
      </c>
      <c r="AA38" s="533">
        <f t="shared" si="44"/>
        <v>10.404806527458028</v>
      </c>
      <c r="AB38" s="533">
        <f t="shared" si="45"/>
        <v>26.101582598899661</v>
      </c>
      <c r="AD38" s="525">
        <f t="shared" si="46"/>
        <v>9.8999999999999986</v>
      </c>
      <c r="AE38" s="538">
        <f t="shared" si="47"/>
        <v>15.101994279972587</v>
      </c>
      <c r="AF38" s="538">
        <f t="shared" si="48"/>
        <v>2.385591024219309</v>
      </c>
      <c r="AG38" s="538">
        <f t="shared" si="49"/>
        <v>0</v>
      </c>
      <c r="AH38" s="538">
        <f t="shared" si="50"/>
        <v>8.6119000627760762</v>
      </c>
      <c r="AI38" s="539">
        <f t="shared" si="51"/>
        <v>1.7929064646819504</v>
      </c>
      <c r="AJ38" s="525">
        <f>SUMPRODUCT(AD38:AG38,'Electrification of Gas End Uses'!$D$4:$G$4)</f>
        <v>10.799394852681147</v>
      </c>
      <c r="AK38" s="533">
        <f t="shared" si="52"/>
        <v>10.404806527458026</v>
      </c>
      <c r="AL38" s="533">
        <f t="shared" si="53"/>
        <v>21.204201380139175</v>
      </c>
      <c r="AN38" s="534">
        <f>SUMPRODUCT(K38:N38,'Electrification of Gas End Uses'!$D$5:$G$5)</f>
        <v>6.9481277056301245</v>
      </c>
      <c r="AO38" s="521">
        <f>SUMPRODUCT(K38:N38,'Electrification of Gas End Uses'!$D$6:$G$6)</f>
        <v>42.252012603206772</v>
      </c>
      <c r="AP38" s="540">
        <f>(AH$57+IF(AH38&gt;(AH$60),AH38-AH$60,0))*(1+$AH$59)/'Electrification of Gas End Uses'!$D$12</f>
        <v>2.9970800251104301</v>
      </c>
      <c r="AQ38" s="541">
        <f t="shared" si="54"/>
        <v>0</v>
      </c>
    </row>
    <row r="39" spans="1:43" ht="14.25" x14ac:dyDescent="0.2">
      <c r="B39" s="367" t="str">
        <f>'Typology Baseline - climate adj'!A39</f>
        <v>Education</v>
      </c>
      <c r="C39" s="525">
        <f t="shared" si="32"/>
        <v>0</v>
      </c>
      <c r="D39" s="526" t="b">
        <f t="shared" si="33"/>
        <v>0</v>
      </c>
      <c r="E39" s="526" t="str">
        <f t="shared" si="34"/>
        <v>CBECS</v>
      </c>
      <c r="F39" s="617">
        <f t="shared" si="55"/>
        <v>102.36388090473903</v>
      </c>
      <c r="G39" s="531">
        <f>IF(D39,D15,'Typology Baseline - climate adj'!H39*$I$57+'Typology Baseline - climate adj'!I39)</f>
        <v>30.857831325301206</v>
      </c>
      <c r="H39" s="531">
        <f>IF(D39,C15,SUM('Typology Baseline - climate adj'!C39*$K$57*$K$58*G15,'Typology Baseline - climate adj'!$D39*H15,'Typology Baseline - climate adj'!$E39:$F39))</f>
        <v>71.506049579437828</v>
      </c>
      <c r="I39" s="531">
        <f>'Typology Baseline - climate adj'!H39*$I$57/'Typology Baseline - climate adj'!G39*G39</f>
        <v>4.3576203384566563</v>
      </c>
      <c r="J39" s="531">
        <f t="shared" ref="J39:J54" si="56">G39-I39</f>
        <v>26.50021098684455</v>
      </c>
      <c r="K39" s="531">
        <f>IF(G15,'Typology Baseline - climate adj'!C39*$K$57*H39/SUM('Typology Baseline - climate adj'!C39*$K$57,'Typology Baseline - climate adj'!$D39:$F39),0)</f>
        <v>50.776147798084423</v>
      </c>
      <c r="L39" s="531">
        <f>IF(H15,($H39-$K39)/SUM('Typology Baseline - climate adj'!$D39:$F39)*'Typology Baseline - climate adj'!D39,0)</f>
        <v>10.077035588157905</v>
      </c>
      <c r="M39" s="531">
        <f>IF('Typology Baseline - climate adj'!E39=0,0,($H39-$K39-$L39)/SUM('Typology Baseline - climate adj'!$E39:$F39)*'Typology Baseline - climate adj'!E39)</f>
        <v>2.5912377226691761</v>
      </c>
      <c r="N39" s="618">
        <f>IF('Typology Baseline - climate adj'!F39=0,0,($H39-$K39-$L39)/SUM('Typology Baseline - climate adj'!$E39:$F39)*'Typology Baseline - climate adj'!F39)</f>
        <v>8.0616284705263244</v>
      </c>
      <c r="O39" s="612"/>
      <c r="P39" s="526"/>
      <c r="Q39" s="525">
        <f t="shared" si="37"/>
        <v>35.543303458659096</v>
      </c>
      <c r="R39" s="525">
        <f t="shared" si="38"/>
        <v>10.077035588157905</v>
      </c>
      <c r="S39" s="525">
        <f t="shared" si="39"/>
        <v>2.5912377226691761</v>
      </c>
      <c r="T39" s="525">
        <f t="shared" si="40"/>
        <v>8.0616284705263244</v>
      </c>
      <c r="U39" s="525"/>
      <c r="V39" s="525">
        <f t="shared" ref="V39:V54" si="57">SUM(Q39:T39)</f>
        <v>56.273205240012501</v>
      </c>
      <c r="W39" s="533">
        <f t="shared" si="42"/>
        <v>21.600481927710842</v>
      </c>
      <c r="X39" s="533">
        <f>W39+V39</f>
        <v>77.873687167723347</v>
      </c>
      <c r="Y39" s="526"/>
      <c r="Z39" s="525">
        <f>SUMPRODUCT(Q39:T39,'Electrification of Gas End Uses'!$D$4:$G$4)</f>
        <v>24.21340861462923</v>
      </c>
      <c r="AA39" s="533">
        <f>W39</f>
        <v>21.600481927710842</v>
      </c>
      <c r="AB39" s="533">
        <f>AA39+Z39</f>
        <v>45.813890542340076</v>
      </c>
      <c r="AD39" s="525">
        <f t="shared" ref="AD39:AD54" si="58">IF($AD$59&lt;Q39,$AD$59,Q39)</f>
        <v>9.8999999999999986</v>
      </c>
      <c r="AE39" s="538">
        <f>R39</f>
        <v>10.077035588157905</v>
      </c>
      <c r="AF39" s="538">
        <f t="shared" ref="AF39:AF54" si="59">S39</f>
        <v>2.5912377226691761</v>
      </c>
      <c r="AG39" s="538">
        <f t="shared" si="31"/>
        <v>8.0616284705263244</v>
      </c>
      <c r="AH39" s="538">
        <f t="shared" si="50"/>
        <v>18.550147690791185</v>
      </c>
      <c r="AI39" s="539">
        <f t="shared" ref="AI39:AI54" si="60">IF(AND(AP39&gt;I39*0.7,AP39&lt;I39),AP39,I39*0.7)</f>
        <v>3.0503342369196593</v>
      </c>
      <c r="AJ39" s="525">
        <f>SUMPRODUCT(AD39:AG39,'Electrification of Gas End Uses'!$D$4:$G$4)</f>
        <v>16.007551507858317</v>
      </c>
      <c r="AK39" s="533">
        <f>SUM(AH39:AI39)</f>
        <v>21.600481927710845</v>
      </c>
      <c r="AL39" s="533">
        <f t="shared" ref="AL39:AL54" si="61">AK39+AJ39</f>
        <v>37.608033435569162</v>
      </c>
      <c r="AN39" s="534">
        <f>SUMPRODUCT(K39:N39,'Electrification of Gas End Uses'!$D$5:$G$5)</f>
        <v>13.206219106029637</v>
      </c>
      <c r="AO39" s="521">
        <f>SUMPRODUCT(K39:N39,'Electrification of Gas End Uses'!$D$6:$G$6)</f>
        <v>61.258365757046874</v>
      </c>
      <c r="AP39" s="540">
        <f>(AH$57+IF(AH39&gt;(AH$60),AH39-AH$60,0))*(1+$AH$59)/'Electrification of Gas End Uses'!$D$12</f>
        <v>6.9723790763164741</v>
      </c>
      <c r="AQ39" s="541">
        <f t="shared" si="54"/>
        <v>0</v>
      </c>
    </row>
    <row r="40" spans="1:43" ht="14.25" x14ac:dyDescent="0.2">
      <c r="B40" s="367" t="str">
        <f>'Typology Baseline - climate adj'!A40</f>
        <v>Food sales</v>
      </c>
      <c r="C40" s="525">
        <f t="shared" si="32"/>
        <v>0</v>
      </c>
      <c r="D40" s="526" t="b">
        <f t="shared" si="33"/>
        <v>0</v>
      </c>
      <c r="E40" s="526" t="str">
        <f t="shared" si="34"/>
        <v>CBECS</v>
      </c>
      <c r="F40" s="617">
        <f t="shared" si="55"/>
        <v>276.77524551398471</v>
      </c>
      <c r="G40" s="531">
        <f>IF(D40,D16,'Typology Baseline - climate adj'!H40*$I$57+'Typology Baseline - climate adj'!I40)</f>
        <v>146.96506024096382</v>
      </c>
      <c r="H40" s="531">
        <f>IF(D40,C16,SUM('Typology Baseline - climate adj'!C40*$K$57*$K$58*G16,'Typology Baseline - climate adj'!$D40*H16,'Typology Baseline - climate adj'!$E40:$F40))</f>
        <v>129.81018527302092</v>
      </c>
      <c r="I40" s="531">
        <f>'Typology Baseline - climate adj'!H40*$I$57/'Typology Baseline - climate adj'!G40*G40</f>
        <v>3.0191472047951478</v>
      </c>
      <c r="J40" s="531">
        <f t="shared" si="56"/>
        <v>143.94591303616866</v>
      </c>
      <c r="K40" s="531">
        <f>IF(G16,'Typology Baseline - climate adj'!C40*$K$57*H40/SUM('Typology Baseline - climate adj'!C40*$K$57,'Typology Baseline - climate adj'!$D40:$F40),0)</f>
        <v>78.656571497471191</v>
      </c>
      <c r="L40" s="531">
        <f>IF(H16,($H40-$K40)/SUM('Typology Baseline - climate adj'!$D40:$F40)*'Typology Baseline - climate adj'!D40,0)</f>
        <v>6.0504274358177117</v>
      </c>
      <c r="M40" s="531">
        <f>IF('Typology Baseline - climate adj'!E40=0,0,($H40-$K40-$L40)/SUM('Typology Baseline - climate adj'!$E40:$F40)*'Typology Baseline - climate adj'!E40)</f>
        <v>45.103186339732019</v>
      </c>
      <c r="N40" s="618">
        <f>IF('Typology Baseline - climate adj'!F40=0,0,($H40-$K40-$L40)/SUM('Typology Baseline - climate adj'!$E40:$F40)*'Typology Baseline - climate adj'!F40)</f>
        <v>0</v>
      </c>
      <c r="O40" s="612"/>
      <c r="P40" s="526"/>
      <c r="Q40" s="525">
        <f t="shared" si="37"/>
        <v>55.059600048229832</v>
      </c>
      <c r="R40" s="525">
        <f t="shared" si="38"/>
        <v>6.0504274358177117</v>
      </c>
      <c r="S40" s="525">
        <f t="shared" si="39"/>
        <v>45.103186339732019</v>
      </c>
      <c r="T40" s="525">
        <f t="shared" si="40"/>
        <v>0</v>
      </c>
      <c r="U40" s="525"/>
      <c r="V40" s="525">
        <f t="shared" si="57"/>
        <v>106.21321382377957</v>
      </c>
      <c r="W40" s="533">
        <f t="shared" si="42"/>
        <v>102.87554216867467</v>
      </c>
      <c r="X40" s="533">
        <f t="shared" ref="X40:X54" si="62">W40+V40</f>
        <v>209.08875599245425</v>
      </c>
      <c r="Y40" s="526"/>
      <c r="Z40" s="525">
        <f>SUMPRODUCT(Q40:T40,'Electrification of Gas End Uses'!$D$4:$G$4)</f>
        <v>47.571187999357583</v>
      </c>
      <c r="AA40" s="533">
        <f t="shared" ref="AA40:AA54" si="63">W40</f>
        <v>102.87554216867467</v>
      </c>
      <c r="AB40" s="533">
        <f t="shared" ref="AB40:AB54" si="64">AA40+Z40</f>
        <v>150.44673016803225</v>
      </c>
      <c r="AD40" s="525">
        <f t="shared" si="58"/>
        <v>9.8999999999999986</v>
      </c>
      <c r="AE40" s="538">
        <f t="shared" ref="AE40:AE54" si="65">R40</f>
        <v>6.0504274358177117</v>
      </c>
      <c r="AF40" s="538">
        <f t="shared" si="59"/>
        <v>45.103186339732019</v>
      </c>
      <c r="AG40" s="538">
        <f t="shared" si="31"/>
        <v>0</v>
      </c>
      <c r="AH40" s="538">
        <f t="shared" si="50"/>
        <v>100.76213912531806</v>
      </c>
      <c r="AI40" s="539">
        <f t="shared" si="60"/>
        <v>2.1134030433566031</v>
      </c>
      <c r="AJ40" s="525">
        <f>SUMPRODUCT(AD40:AG40,'Electrification of Gas End Uses'!$D$4:$G$4)</f>
        <v>33.120115983924038</v>
      </c>
      <c r="AK40" s="533">
        <f t="shared" ref="AK40:AK54" si="66">SUM(AH40:AI40)</f>
        <v>102.87554216867466</v>
      </c>
      <c r="AL40" s="533">
        <f t="shared" si="61"/>
        <v>135.99565815259871</v>
      </c>
      <c r="AN40" s="534">
        <f>SUMPRODUCT(K40:N40,'Electrification of Gas End Uses'!$D$5:$G$5)</f>
        <v>42.62223597635554</v>
      </c>
      <c r="AO40" s="521">
        <f>SUMPRODUCT(K40:N40,'Electrification of Gas End Uses'!$D$6:$G$6)</f>
        <v>114.93470270641069</v>
      </c>
      <c r="AP40" s="540">
        <f>(AH$57+IF(AH40&gt;(AH$60),AH40-AH$60,0))*(1+$AH$59)/'Electrification of Gas End Uses'!$D$12</f>
        <v>39.857175650127218</v>
      </c>
      <c r="AQ40" s="541">
        <f t="shared" si="54"/>
        <v>0</v>
      </c>
    </row>
    <row r="41" spans="1:43" ht="14.25" x14ac:dyDescent="0.2">
      <c r="B41" s="367" t="str">
        <f>'Typology Baseline - climate adj'!A41</f>
        <v>Food service</v>
      </c>
      <c r="C41" s="525">
        <f t="shared" si="32"/>
        <v>0</v>
      </c>
      <c r="D41" s="526" t="b">
        <f t="shared" si="33"/>
        <v>0</v>
      </c>
      <c r="E41" s="526" t="str">
        <f t="shared" si="34"/>
        <v>CBECS</v>
      </c>
      <c r="F41" s="617">
        <f t="shared" si="55"/>
        <v>315.22895262541113</v>
      </c>
      <c r="G41" s="531">
        <f>IF(D41,D17,'Typology Baseline - climate adj'!H41*$I$57+'Typology Baseline - climate adj'!I41)</f>
        <v>82.80963855421686</v>
      </c>
      <c r="H41" s="531">
        <f>IF(D41,C17,SUM('Typology Baseline - climate adj'!C41*$K$57*$K$58*G17,'Typology Baseline - climate adj'!$D41*H17,'Typology Baseline - climate adj'!$E41:$F41))</f>
        <v>232.41931407119426</v>
      </c>
      <c r="I41" s="531">
        <f>'Typology Baseline - climate adj'!H41*$I$57/'Typology Baseline - climate adj'!G41*G41</f>
        <v>9.5356018379949052</v>
      </c>
      <c r="J41" s="531">
        <f t="shared" si="56"/>
        <v>73.274036716221957</v>
      </c>
      <c r="K41" s="531">
        <f>IF(G17,'Typology Baseline - climate adj'!C41*$K$57*H41/SUM('Typology Baseline - climate adj'!C41*$K$57,'Typology Baseline - climate adj'!$D41:$F41),0)</f>
        <v>51.018434228505257</v>
      </c>
      <c r="L41" s="531">
        <f>IF(H17,($H41-$K41)/SUM('Typology Baseline - climate adj'!$D41:$F41)*'Typology Baseline - climate adj'!D41,0)</f>
        <v>44.526703129827233</v>
      </c>
      <c r="M41" s="531">
        <f>IF('Typology Baseline - climate adj'!E41=0,0,($H41-$K41-$L41)/SUM('Typology Baseline - climate adj'!$E41:$F41)*'Typology Baseline - climate adj'!E41)</f>
        <v>136.87417671286175</v>
      </c>
      <c r="N41" s="618">
        <f>IF('Typology Baseline - climate adj'!F41=0,0,($H41-$K41-$L41)/SUM('Typology Baseline - climate adj'!$E41:$F41)*'Typology Baseline - climate adj'!F41)</f>
        <v>0</v>
      </c>
      <c r="O41" s="612"/>
      <c r="P41" s="526"/>
      <c r="Q41" s="525">
        <f t="shared" si="37"/>
        <v>35.712903959953678</v>
      </c>
      <c r="R41" s="525">
        <f t="shared" si="38"/>
        <v>44.526703129827233</v>
      </c>
      <c r="S41" s="525">
        <f t="shared" si="39"/>
        <v>136.87417671286175</v>
      </c>
      <c r="T41" s="525">
        <f t="shared" si="40"/>
        <v>0</v>
      </c>
      <c r="U41" s="525"/>
      <c r="V41" s="525">
        <f t="shared" si="57"/>
        <v>217.11378380264267</v>
      </c>
      <c r="W41" s="533">
        <f t="shared" si="42"/>
        <v>57.966746987951801</v>
      </c>
      <c r="X41" s="533">
        <f t="shared" si="62"/>
        <v>275.08053079059448</v>
      </c>
      <c r="Y41" s="526"/>
      <c r="Z41" s="525">
        <f>SUMPRODUCT(Q41:T41,'Electrification of Gas End Uses'!$D$4:$G$4)</f>
        <v>113.02758997519381</v>
      </c>
      <c r="AA41" s="533">
        <f t="shared" si="63"/>
        <v>57.966746987951801</v>
      </c>
      <c r="AB41" s="533">
        <f t="shared" si="64"/>
        <v>170.9943369631456</v>
      </c>
      <c r="AD41" s="525">
        <f t="shared" si="58"/>
        <v>9.8999999999999986</v>
      </c>
      <c r="AE41" s="538">
        <f t="shared" si="65"/>
        <v>44.526703129827233</v>
      </c>
      <c r="AF41" s="538">
        <f t="shared" si="59"/>
        <v>136.87417671286175</v>
      </c>
      <c r="AG41" s="538">
        <f t="shared" si="31"/>
        <v>0</v>
      </c>
      <c r="AH41" s="538">
        <f t="shared" si="50"/>
        <v>51.291825701355364</v>
      </c>
      <c r="AI41" s="539">
        <f t="shared" si="60"/>
        <v>6.6749212865964331</v>
      </c>
      <c r="AJ41" s="525">
        <f>SUMPRODUCT(AD41:AG41,'Electrification of Gas End Uses'!$D$4:$G$4)</f>
        <v>104.76746070800863</v>
      </c>
      <c r="AK41" s="533">
        <f t="shared" si="66"/>
        <v>57.966746987951794</v>
      </c>
      <c r="AL41" s="533">
        <f t="shared" si="61"/>
        <v>162.73420769596044</v>
      </c>
      <c r="AN41" s="534">
        <f>SUMPRODUCT(K41:N41,'Electrification of Gas End Uses'!$D$5:$G$5)</f>
        <v>113.43910787324208</v>
      </c>
      <c r="AO41" s="521">
        <f>SUMPRODUCT(K41:N41,'Electrification of Gas End Uses'!$D$6:$G$6)</f>
        <v>161.6712130562056</v>
      </c>
      <c r="AP41" s="540">
        <f>(AH$57+IF(AH41&gt;(AH$60),AH41-AH$60,0))*(1+$AH$59)/'Electrification of Gas End Uses'!$D$12</f>
        <v>20.069050280542147</v>
      </c>
      <c r="AQ41" s="541">
        <f t="shared" si="54"/>
        <v>0</v>
      </c>
    </row>
    <row r="42" spans="1:43" ht="14.25" x14ac:dyDescent="0.2">
      <c r="B42" s="367" t="str">
        <f>'Typology Baseline - climate adj'!A42</f>
        <v>Health care Inpatient</v>
      </c>
      <c r="C42" s="525">
        <f t="shared" si="32"/>
        <v>0</v>
      </c>
      <c r="D42" s="526" t="b">
        <f t="shared" si="33"/>
        <v>0</v>
      </c>
      <c r="E42" s="526" t="str">
        <f t="shared" si="34"/>
        <v>CBECS</v>
      </c>
      <c r="F42" s="617">
        <f t="shared" si="55"/>
        <v>320.85101617252189</v>
      </c>
      <c r="G42" s="531">
        <f>IF(D42,D18,'Typology Baseline - climate adj'!H42*$I$57+'Typology Baseline - climate adj'!I42)</f>
        <v>86.251807228915652</v>
      </c>
      <c r="H42" s="531">
        <f>IF(D42,C18,SUM('Typology Baseline - climate adj'!C42*$K$57*$K$58*G18,'Typology Baseline - climate adj'!$D42*H18,'Typology Baseline - climate adj'!$E42:$F42))</f>
        <v>234.59920894360627</v>
      </c>
      <c r="I42" s="531">
        <f>'Typology Baseline - climate adj'!H42*$I$57/'Typology Baseline - climate adj'!G42*G42</f>
        <v>13.431354124132829</v>
      </c>
      <c r="J42" s="531">
        <f t="shared" si="56"/>
        <v>72.820453104782828</v>
      </c>
      <c r="K42" s="531">
        <f>IF(G18,'Typology Baseline - climate adj'!C42*$K$57*H42/SUM('Typology Baseline - climate adj'!C42*$K$57,'Typology Baseline - climate adj'!$D42:$F42),0)</f>
        <v>132.21873540962989</v>
      </c>
      <c r="L42" s="531">
        <f>IF(H18,($H42-$K42)/SUM('Typology Baseline - climate adj'!$D42:$F42)*'Typology Baseline - climate adj'!D42,0)</f>
        <v>46.266801610215936</v>
      </c>
      <c r="M42" s="531">
        <f>IF('Typology Baseline - climate adj'!E42=0,0,($H42-$K42-$L42)/SUM('Typology Baseline - climate adj'!$E42:$F42)*'Typology Baseline - climate adj'!E42)</f>
        <v>22.391513315731334</v>
      </c>
      <c r="N42" s="618">
        <f>IF('Typology Baseline - climate adj'!F42=0,0,($H42-$K42-$L42)/SUM('Typology Baseline - climate adj'!$E42:$F42)*'Typology Baseline - climate adj'!F42)</f>
        <v>33.722158608029112</v>
      </c>
      <c r="O42" s="612"/>
      <c r="P42" s="526"/>
      <c r="Q42" s="525">
        <f t="shared" si="37"/>
        <v>92.55311478674092</v>
      </c>
      <c r="R42" s="525">
        <f t="shared" si="38"/>
        <v>46.266801610215936</v>
      </c>
      <c r="S42" s="525">
        <f t="shared" si="39"/>
        <v>22.391513315731334</v>
      </c>
      <c r="T42" s="525">
        <f t="shared" si="40"/>
        <v>33.722158608029112</v>
      </c>
      <c r="U42" s="525"/>
      <c r="V42" s="525">
        <f t="shared" si="57"/>
        <v>194.93358832071729</v>
      </c>
      <c r="W42" s="533">
        <f t="shared" si="42"/>
        <v>60.376265060240954</v>
      </c>
      <c r="X42" s="533">
        <f t="shared" si="62"/>
        <v>255.30985338095826</v>
      </c>
      <c r="Y42" s="526"/>
      <c r="Z42" s="525">
        <f>SUMPRODUCT(Q42:T42,'Electrification of Gas End Uses'!$D$4:$G$4)</f>
        <v>92.046117030903957</v>
      </c>
      <c r="AA42" s="533">
        <f t="shared" si="63"/>
        <v>60.376265060240954</v>
      </c>
      <c r="AB42" s="533">
        <f t="shared" si="64"/>
        <v>152.42238209114493</v>
      </c>
      <c r="AD42" s="525">
        <f t="shared" si="58"/>
        <v>9.8999999999999986</v>
      </c>
      <c r="AE42" s="538">
        <f t="shared" si="65"/>
        <v>46.266801610215936</v>
      </c>
      <c r="AF42" s="538">
        <f t="shared" si="59"/>
        <v>22.391513315731334</v>
      </c>
      <c r="AG42" s="538">
        <f t="shared" si="31"/>
        <v>33.722158608029112</v>
      </c>
      <c r="AH42" s="538">
        <f t="shared" si="50"/>
        <v>50.974317173347977</v>
      </c>
      <c r="AI42" s="539">
        <f t="shared" si="60"/>
        <v>9.4019478868929802</v>
      </c>
      <c r="AJ42" s="525">
        <f>SUMPRODUCT(AD42:AG42,'Electrification of Gas End Uses'!$D$4:$G$4)</f>
        <v>65.597120299146866</v>
      </c>
      <c r="AK42" s="533">
        <f t="shared" si="66"/>
        <v>60.376265060240954</v>
      </c>
      <c r="AL42" s="533">
        <f t="shared" si="61"/>
        <v>125.97338535938782</v>
      </c>
      <c r="AN42" s="534">
        <f>SUMPRODUCT(K42:N42,'Electrification of Gas End Uses'!$D$5:$G$5)</f>
        <v>56.470792355206456</v>
      </c>
      <c r="AO42" s="521">
        <f>SUMPRODUCT(K42:N42,'Electrification of Gas End Uses'!$D$6:$G$6)</f>
        <v>183.02970340467627</v>
      </c>
      <c r="AP42" s="540">
        <f>(AH$57+IF(AH42&gt;(AH$60),AH42-AH$60,0))*(1+$AH$59)/'Electrification of Gas End Uses'!$D$12</f>
        <v>19.94204686933919</v>
      </c>
      <c r="AQ42" s="541">
        <f t="shared" si="54"/>
        <v>0</v>
      </c>
    </row>
    <row r="43" spans="1:43" ht="14.25" x14ac:dyDescent="0.2">
      <c r="B43" s="367" t="str">
        <f>'Typology Baseline - climate adj'!A43</f>
        <v>Health care Outpatient</v>
      </c>
      <c r="C43" s="525">
        <f t="shared" si="32"/>
        <v>0</v>
      </c>
      <c r="D43" s="526" t="b">
        <f t="shared" si="33"/>
        <v>0</v>
      </c>
      <c r="E43" s="526" t="str">
        <f t="shared" si="34"/>
        <v>CBECS</v>
      </c>
      <c r="F43" s="617">
        <f t="shared" si="55"/>
        <v>144.1284160011505</v>
      </c>
      <c r="G43" s="531">
        <f>IF(D43,D19,'Typology Baseline - climate adj'!H43*$I$57+'Typology Baseline - climate adj'!I43)</f>
        <v>56.601204819277108</v>
      </c>
      <c r="H43" s="531">
        <f>IF(D43,C19,SUM('Typology Baseline - climate adj'!C43*$K$57*$K$58*G19,'Typology Baseline - climate adj'!$D43*H19,'Typology Baseline - climate adj'!$E43:$F43))</f>
        <v>87.527211181873398</v>
      </c>
      <c r="I43" s="531">
        <f>'Typology Baseline - climate adj'!H43*$I$57/'Typology Baseline - climate adj'!G43*G43</f>
        <v>3.5327597310961067</v>
      </c>
      <c r="J43" s="531">
        <f t="shared" si="56"/>
        <v>53.068445088181001</v>
      </c>
      <c r="K43" s="531">
        <f>IF(G19,'Typology Baseline - climate adj'!C43*$K$57*H43/SUM('Typology Baseline - climate adj'!C43*$K$57,'Typology Baseline - climate adj'!$D43:$F43),0)</f>
        <v>81.382451771315772</v>
      </c>
      <c r="L43" s="531">
        <f>IF(H19,($H43-$K43)/SUM('Typology Baseline - climate adj'!$D43:$F43)*'Typology Baseline - climate adj'!D43,0)</f>
        <v>6.1447594105576258</v>
      </c>
      <c r="M43" s="531">
        <f>IF('Typology Baseline - climate adj'!E43=0,0,($H43-$K43-$L43)/SUM('Typology Baseline - climate adj'!$E43:$F43)*'Typology Baseline - climate adj'!E43)</f>
        <v>0</v>
      </c>
      <c r="N43" s="618">
        <f>IF('Typology Baseline - climate adj'!F43=0,0,($H43-$K43-$L43)/SUM('Typology Baseline - climate adj'!$E43:$F43)*'Typology Baseline - climate adj'!F43)</f>
        <v>0</v>
      </c>
      <c r="O43" s="612"/>
      <c r="P43" s="526"/>
      <c r="Q43" s="525">
        <f t="shared" si="37"/>
        <v>56.967716239921039</v>
      </c>
      <c r="R43" s="525">
        <f t="shared" si="38"/>
        <v>6.1447594105576258</v>
      </c>
      <c r="S43" s="525">
        <f t="shared" si="39"/>
        <v>0</v>
      </c>
      <c r="T43" s="525">
        <f t="shared" si="40"/>
        <v>0</v>
      </c>
      <c r="U43" s="525"/>
      <c r="V43" s="525">
        <f t="shared" si="57"/>
        <v>63.112475650478665</v>
      </c>
      <c r="W43" s="533">
        <f t="shared" si="42"/>
        <v>39.620843373493976</v>
      </c>
      <c r="X43" s="533">
        <f t="shared" si="62"/>
        <v>102.73331902397264</v>
      </c>
      <c r="Y43" s="526"/>
      <c r="Z43" s="525">
        <f>SUMPRODUCT(Q43:T43,'Electrification of Gas End Uses'!$D$4:$G$4)</f>
        <v>20.743434410184669</v>
      </c>
      <c r="AA43" s="533">
        <f t="shared" si="63"/>
        <v>39.620843373493976</v>
      </c>
      <c r="AB43" s="533">
        <f t="shared" si="64"/>
        <v>60.364277783678645</v>
      </c>
      <c r="AD43" s="525">
        <f t="shared" si="58"/>
        <v>9.8999999999999986</v>
      </c>
      <c r="AE43" s="538">
        <f t="shared" si="65"/>
        <v>6.1447594105576258</v>
      </c>
      <c r="AF43" s="538">
        <f t="shared" si="59"/>
        <v>0</v>
      </c>
      <c r="AG43" s="538">
        <f t="shared" si="31"/>
        <v>0</v>
      </c>
      <c r="AH43" s="538">
        <f t="shared" si="50"/>
        <v>37.147911561726701</v>
      </c>
      <c r="AI43" s="539">
        <f t="shared" si="60"/>
        <v>2.4729318117672747</v>
      </c>
      <c r="AJ43" s="525">
        <f>SUMPRODUCT(AD43:AG43,'Electrification of Gas End Uses'!$D$4:$G$4)</f>
        <v>5.6817652134099372</v>
      </c>
      <c r="AK43" s="533">
        <f t="shared" si="66"/>
        <v>39.620843373493976</v>
      </c>
      <c r="AL43" s="533">
        <f t="shared" si="61"/>
        <v>45.302608586903915</v>
      </c>
      <c r="AN43" s="534">
        <f>SUMPRODUCT(K43:N43,'Electrification of Gas End Uses'!$D$5:$G$5)</f>
        <v>8.7124182307415765</v>
      </c>
      <c r="AO43" s="521">
        <f>SUMPRODUCT(K43:N43,'Electrification of Gas End Uses'!$D$6:$G$6)</f>
        <v>85.163467570570631</v>
      </c>
      <c r="AP43" s="540">
        <f>(AH$57+IF(AH43&gt;(AH$60),AH43-AH$60,0))*(1+$AH$59)/'Electrification of Gas End Uses'!$D$12</f>
        <v>14.411484624690681</v>
      </c>
      <c r="AQ43" s="541">
        <f t="shared" si="54"/>
        <v>0</v>
      </c>
    </row>
    <row r="44" spans="1:43" ht="14.25" x14ac:dyDescent="0.2">
      <c r="B44" s="367" t="str">
        <f>'Typology Baseline - climate adj'!A44</f>
        <v>Lodging</v>
      </c>
      <c r="C44" s="525">
        <f t="shared" si="32"/>
        <v>0</v>
      </c>
      <c r="D44" s="526" t="b">
        <f t="shared" si="33"/>
        <v>0</v>
      </c>
      <c r="E44" s="526" t="str">
        <f t="shared" si="34"/>
        <v>CBECS</v>
      </c>
      <c r="F44" s="617">
        <f t="shared" si="55"/>
        <v>104.23433539499726</v>
      </c>
      <c r="G44" s="531">
        <f>IF(D44,D20,'Typology Baseline - climate adj'!H44*$I$57+'Typology Baseline - climate adj'!I44)</f>
        <v>40.121686746987955</v>
      </c>
      <c r="H44" s="531">
        <f>IF(D44,C20,SUM('Typology Baseline - climate adj'!C44*$K$57*$K$58*G20,'Typology Baseline - climate adj'!$D44*H20,'Typology Baseline - climate adj'!$E44:$F44))</f>
        <v>64.112648648009312</v>
      </c>
      <c r="I44" s="531">
        <f>'Typology Baseline - climate adj'!H44*$I$57/'Typology Baseline - climate adj'!G44*G44</f>
        <v>3.9208609538555832</v>
      </c>
      <c r="J44" s="531">
        <f t="shared" si="56"/>
        <v>36.200825793132374</v>
      </c>
      <c r="K44" s="531">
        <f>IF(G20,'Typology Baseline - climate adj'!C44*$K$57*H44/SUM('Typology Baseline - climate adj'!C44*$K$57,'Typology Baseline - climate adj'!$D44:$F44),0)</f>
        <v>23.501617750867965</v>
      </c>
      <c r="L44" s="531">
        <f>IF(H20,($H44-$K44)/SUM('Typology Baseline - climate adj'!$D44:$F44)*'Typology Baseline - climate adj'!D44,0)</f>
        <v>32.513363104962103</v>
      </c>
      <c r="M44" s="531">
        <f>IF('Typology Baseline - climate adj'!E44=0,0,($H44-$K44-$L44)/SUM('Typology Baseline - climate adj'!$E44:$F44)*'Typology Baseline - climate adj'!E44)</f>
        <v>0</v>
      </c>
      <c r="N44" s="618">
        <f>IF('Typology Baseline - climate adj'!F44=0,0,($H44-$K44-$L44)/SUM('Typology Baseline - climate adj'!$E44:$F44)*'Typology Baseline - climate adj'!F44)</f>
        <v>8.0976677921792444</v>
      </c>
      <c r="O44" s="612"/>
      <c r="P44" s="526"/>
      <c r="Q44" s="525">
        <f t="shared" si="37"/>
        <v>16.451132425607575</v>
      </c>
      <c r="R44" s="525">
        <f t="shared" si="38"/>
        <v>32.513363104962103</v>
      </c>
      <c r="S44" s="525">
        <f t="shared" si="39"/>
        <v>0</v>
      </c>
      <c r="T44" s="525">
        <f t="shared" si="40"/>
        <v>8.0976677921792444</v>
      </c>
      <c r="U44" s="525"/>
      <c r="V44" s="525">
        <f t="shared" si="57"/>
        <v>57.062163322748923</v>
      </c>
      <c r="W44" s="533">
        <f t="shared" si="42"/>
        <v>28.085180722891565</v>
      </c>
      <c r="X44" s="533">
        <f t="shared" si="62"/>
        <v>85.147344045640494</v>
      </c>
      <c r="Y44" s="526"/>
      <c r="Z44" s="525">
        <f>SUMPRODUCT(Q44:T44,'Electrification of Gas End Uses'!$D$4:$G$4)</f>
        <v>25.735737569251935</v>
      </c>
      <c r="AA44" s="533">
        <f t="shared" si="63"/>
        <v>28.085180722891565</v>
      </c>
      <c r="AB44" s="533">
        <f t="shared" si="64"/>
        <v>53.820918292143503</v>
      </c>
      <c r="AD44" s="525">
        <f t="shared" si="58"/>
        <v>9.8999999999999986</v>
      </c>
      <c r="AE44" s="538">
        <f t="shared" si="65"/>
        <v>32.513363104962103</v>
      </c>
      <c r="AF44" s="538">
        <f t="shared" si="59"/>
        <v>0</v>
      </c>
      <c r="AG44" s="538">
        <f t="shared" si="31"/>
        <v>8.0976677921792444</v>
      </c>
      <c r="AH44" s="538">
        <f t="shared" si="50"/>
        <v>25.340578055192662</v>
      </c>
      <c r="AI44" s="539">
        <f t="shared" si="60"/>
        <v>2.7446026676989081</v>
      </c>
      <c r="AJ44" s="525">
        <f>SUMPRODUCT(AD44:AG44,'Electrification of Gas End Uses'!$D$4:$G$4)</f>
        <v>23.639375193057511</v>
      </c>
      <c r="AK44" s="533">
        <f t="shared" si="66"/>
        <v>28.085180722891572</v>
      </c>
      <c r="AL44" s="533">
        <f t="shared" si="61"/>
        <v>51.724555915949082</v>
      </c>
      <c r="AN44" s="534">
        <f>SUMPRODUCT(K44:N44,'Electrification of Gas End Uses'!$D$5:$G$5)</f>
        <v>10.88721125628455</v>
      </c>
      <c r="AO44" s="521">
        <f>SUMPRODUCT(K44:N44,'Electrification of Gas End Uses'!$D$6:$G$6)</f>
        <v>36.500692139452653</v>
      </c>
      <c r="AP44" s="540">
        <f>(AH$57+IF(AH44&gt;(AH$60),AH44-AH$60,0))*(1+$AH$59)/'Electrification of Gas End Uses'!$D$12</f>
        <v>9.6885512220770629</v>
      </c>
      <c r="AQ44" s="541">
        <f t="shared" si="54"/>
        <v>0</v>
      </c>
    </row>
    <row r="45" spans="1:43" ht="14.25" x14ac:dyDescent="0.2">
      <c r="B45" s="367" t="str">
        <f>'Typology Baseline - climate adj'!A45</f>
        <v>Mercantile Enclosed and strip malls</v>
      </c>
      <c r="C45" s="525">
        <f t="shared" si="32"/>
        <v>0</v>
      </c>
      <c r="D45" s="526" t="b">
        <f t="shared" si="33"/>
        <v>0</v>
      </c>
      <c r="E45" s="526" t="str">
        <f t="shared" si="34"/>
        <v>CBECS</v>
      </c>
      <c r="F45" s="617">
        <f t="shared" si="55"/>
        <v>147.85671077278232</v>
      </c>
      <c r="G45" s="531">
        <f>IF(D45,D21,'Typology Baseline - climate adj'!H45*$I$57+'Typology Baseline - climate adj'!I45)</f>
        <v>64.189156626506033</v>
      </c>
      <c r="H45" s="531">
        <f>IF(D45,C21,SUM('Typology Baseline - climate adj'!C45*$K$57*$K$58*G21,'Typology Baseline - climate adj'!$D45*H21,'Typology Baseline - climate adj'!$E45:$F45))</f>
        <v>83.667554146276274</v>
      </c>
      <c r="I45" s="531">
        <f>'Typology Baseline - climate adj'!H46*$I$57/'Typology Baseline - climate adj'!G46*G45</f>
        <v>5.8289864426340241</v>
      </c>
      <c r="J45" s="531">
        <f t="shared" si="56"/>
        <v>58.360170183872007</v>
      </c>
      <c r="K45" s="531">
        <f>IF(G21,'Typology Baseline - climate adj'!C45*$K$57*H45/SUM('Typology Baseline - climate adj'!C45*$K$57,'Typology Baseline - climate adj'!$D45:$F45),0)</f>
        <v>37.238608639332853</v>
      </c>
      <c r="L45" s="531">
        <f>IF(H21,($H45-$K45)/SUM('Typology Baseline - climate adj'!$D45:$F45)*'Typology Baseline - climate adj'!D45,0)</f>
        <v>17.984838781535775</v>
      </c>
      <c r="M45" s="531">
        <f>IF('Typology Baseline - climate adj'!E45=0,0,($H45-$K45-$L45)/SUM('Typology Baseline - climate adj'!$E45:$F45)*'Typology Baseline - climate adj'!E45)</f>
        <v>19.643015406783753</v>
      </c>
      <c r="N45" s="618">
        <f>IF('Typology Baseline - climate adj'!F45=0,0,($H45-$K45-$L45)/SUM('Typology Baseline - climate adj'!$E45:$F45)*'Typology Baseline - climate adj'!F45)</f>
        <v>8.8010913186238913</v>
      </c>
      <c r="O45" s="612"/>
      <c r="P45" s="526"/>
      <c r="Q45" s="525">
        <f t="shared" si="37"/>
        <v>26.067026047532995</v>
      </c>
      <c r="R45" s="525">
        <f t="shared" si="38"/>
        <v>17.984838781535775</v>
      </c>
      <c r="S45" s="525">
        <f t="shared" si="39"/>
        <v>19.643015406783753</v>
      </c>
      <c r="T45" s="525">
        <f t="shared" si="40"/>
        <v>8.8010913186238913</v>
      </c>
      <c r="U45" s="525"/>
      <c r="V45" s="525">
        <f t="shared" si="57"/>
        <v>72.495971554476412</v>
      </c>
      <c r="W45" s="533">
        <f t="shared" si="42"/>
        <v>44.932409638554219</v>
      </c>
      <c r="X45" s="533">
        <f t="shared" si="62"/>
        <v>117.42838119303063</v>
      </c>
      <c r="Y45" s="526"/>
      <c r="Z45" s="525">
        <f>SUMPRODUCT(Q45:T45,'Electrification of Gas End Uses'!$D$4:$G$4)</f>
        <v>35.458774982191294</v>
      </c>
      <c r="AA45" s="533">
        <f t="shared" si="63"/>
        <v>44.932409638554219</v>
      </c>
      <c r="AB45" s="533">
        <f t="shared" si="64"/>
        <v>80.39118462074552</v>
      </c>
      <c r="AD45" s="525">
        <f t="shared" si="58"/>
        <v>9.8999999999999986</v>
      </c>
      <c r="AE45" s="538">
        <f t="shared" si="65"/>
        <v>17.984838781535775</v>
      </c>
      <c r="AF45" s="538">
        <f t="shared" si="59"/>
        <v>19.643015406783753</v>
      </c>
      <c r="AG45" s="538">
        <f t="shared" si="31"/>
        <v>8.8010913186238913</v>
      </c>
      <c r="AH45" s="538">
        <f t="shared" si="50"/>
        <v>40.852119128710406</v>
      </c>
      <c r="AI45" s="539">
        <f t="shared" si="60"/>
        <v>4.0802905098438167</v>
      </c>
      <c r="AJ45" s="525">
        <f>SUMPRODUCT(AD45:AG45,'Electrification of Gas End Uses'!$D$4:$G$4)</f>
        <v>30.285326646980735</v>
      </c>
      <c r="AK45" s="533">
        <f t="shared" si="66"/>
        <v>44.932409638554219</v>
      </c>
      <c r="AL45" s="533">
        <f t="shared" si="61"/>
        <v>75.217736285534954</v>
      </c>
      <c r="AN45" s="534">
        <f>SUMPRODUCT(K45:N45,'Electrification of Gas End Uses'!$D$5:$G$5)</f>
        <v>26.082765073129714</v>
      </c>
      <c r="AO45" s="521">
        <f>SUMPRODUCT(K45:N45,'Electrification of Gas End Uses'!$D$6:$G$6)</f>
        <v>61.911907888731974</v>
      </c>
      <c r="AP45" s="540">
        <f>(AH$57+IF(AH45&gt;(AH$60),AH45-AH$60,0))*(1+$AH$59)/'Electrification of Gas End Uses'!$D$12</f>
        <v>15.893167651484163</v>
      </c>
      <c r="AQ45" s="541">
        <f t="shared" si="54"/>
        <v>0</v>
      </c>
    </row>
    <row r="46" spans="1:43" ht="14.25" x14ac:dyDescent="0.2">
      <c r="B46" s="367" t="str">
        <f>'Typology Baseline - climate adj'!A46</f>
        <v>Mercantile Retail (other than mall)</v>
      </c>
      <c r="C46" s="525">
        <f t="shared" si="32"/>
        <v>0</v>
      </c>
      <c r="D46" s="526" t="b">
        <f t="shared" si="33"/>
        <v>0</v>
      </c>
      <c r="E46" s="526" t="str">
        <f t="shared" si="34"/>
        <v>CBECS</v>
      </c>
      <c r="F46" s="617">
        <f t="shared" si="55"/>
        <v>97.540649501111631</v>
      </c>
      <c r="G46" s="531">
        <f>IF(D46,D22,'Typology Baseline - climate adj'!H46*$I$57+'Typology Baseline - climate adj'!I46)</f>
        <v>45.195180722891564</v>
      </c>
      <c r="H46" s="531">
        <f>IF(D46,C22,SUM('Typology Baseline - climate adj'!C46*$K$57*$K$58*G22,'Typology Baseline - climate adj'!$D46*H22,'Typology Baseline - climate adj'!$E46:$F46))</f>
        <v>52.345468778220059</v>
      </c>
      <c r="I46" s="531">
        <f>'Typology Baseline - climate adj'!H45*$I$57/'Typology Baseline - climate adj'!G45*G46</f>
        <v>3.3874131584983935</v>
      </c>
      <c r="J46" s="531">
        <f t="shared" si="56"/>
        <v>41.807767564393174</v>
      </c>
      <c r="K46" s="531">
        <f>IF(G22,'Typology Baseline - climate adj'!C46*$K$57*H46/SUM('Typology Baseline - climate adj'!C46*$K$57,'Typology Baseline - climate adj'!$D46:$F46),0)</f>
        <v>39.840642505922432</v>
      </c>
      <c r="L46" s="531">
        <f>IF(H22,($H46-$K46)/SUM('Typology Baseline - climate adj'!$D46:$F46)*'Typology Baseline - climate adj'!D46,0)</f>
        <v>3.6778900800875376</v>
      </c>
      <c r="M46" s="531">
        <f>IF('Typology Baseline - climate adj'!E46=0,0,($H46-$K46-$L46)/SUM('Typology Baseline - climate adj'!$E46:$F46)*'Typology Baseline - climate adj'!E46)</f>
        <v>8.8269361922100895</v>
      </c>
      <c r="N46" s="618">
        <f>IF('Typology Baseline - climate adj'!F46=0,0,($H46-$K46-$L46)/SUM('Typology Baseline - climate adj'!$E46:$F46)*'Typology Baseline - climate adj'!F46)</f>
        <v>0</v>
      </c>
      <c r="O46" s="612"/>
      <c r="P46" s="526"/>
      <c r="Q46" s="525">
        <f t="shared" si="37"/>
        <v>27.8884497541457</v>
      </c>
      <c r="R46" s="525">
        <f t="shared" si="38"/>
        <v>3.6778900800875376</v>
      </c>
      <c r="S46" s="525">
        <f t="shared" si="39"/>
        <v>8.8269361922100895</v>
      </c>
      <c r="T46" s="525">
        <f t="shared" si="40"/>
        <v>0</v>
      </c>
      <c r="U46" s="525"/>
      <c r="V46" s="525">
        <f t="shared" si="57"/>
        <v>40.393276026443324</v>
      </c>
      <c r="W46" s="533">
        <f t="shared" si="42"/>
        <v>31.636626506024093</v>
      </c>
      <c r="X46" s="533">
        <f t="shared" si="62"/>
        <v>72.029902532467418</v>
      </c>
      <c r="Y46" s="526"/>
      <c r="Z46" s="525">
        <f>SUMPRODUCT(Q46:T46,'Electrification of Gas End Uses'!$D$4:$G$4)</f>
        <v>15.806280503556941</v>
      </c>
      <c r="AA46" s="533">
        <f t="shared" si="63"/>
        <v>31.636626506024093</v>
      </c>
      <c r="AB46" s="533">
        <f t="shared" si="64"/>
        <v>47.442907009581035</v>
      </c>
      <c r="AD46" s="525">
        <f t="shared" si="58"/>
        <v>9.8999999999999986</v>
      </c>
      <c r="AE46" s="538">
        <f t="shared" si="65"/>
        <v>3.6778900800875376</v>
      </c>
      <c r="AF46" s="538">
        <f t="shared" si="59"/>
        <v>8.8269361922100895</v>
      </c>
      <c r="AG46" s="538">
        <f t="shared" si="31"/>
        <v>0</v>
      </c>
      <c r="AH46" s="538">
        <f t="shared" si="50"/>
        <v>29.26543729507522</v>
      </c>
      <c r="AI46" s="539">
        <f t="shared" si="60"/>
        <v>2.3711892109488755</v>
      </c>
      <c r="AJ46" s="525">
        <f>SUMPRODUCT(AD46:AG46,'Electrification of Gas End Uses'!$D$4:$G$4)</f>
        <v>10.049976582230318</v>
      </c>
      <c r="AK46" s="533">
        <f t="shared" si="66"/>
        <v>31.636626506024093</v>
      </c>
      <c r="AL46" s="533">
        <f t="shared" si="61"/>
        <v>41.686603088254415</v>
      </c>
      <c r="AN46" s="534">
        <f>SUMPRODUCT(K46:N46,'Electrification of Gas End Uses'!$D$5:$G$5)</f>
        <v>11.025832588795208</v>
      </c>
      <c r="AO46" s="521">
        <f>SUMPRODUCT(K46:N46,'Electrification of Gas End Uses'!$D$6:$G$6)</f>
        <v>48.225332611819574</v>
      </c>
      <c r="AP46" s="540">
        <f>(AH$57+IF(AH46&gt;(AH$60),AH46-AH$60,0))*(1+$AH$59)/'Electrification of Gas End Uses'!$D$12</f>
        <v>11.258494918030086</v>
      </c>
      <c r="AQ46" s="541">
        <f t="shared" si="54"/>
        <v>0</v>
      </c>
    </row>
    <row r="47" spans="1:43" ht="14.25" x14ac:dyDescent="0.2">
      <c r="B47" s="367" t="str">
        <f>'Typology Baseline - climate adj'!A47</f>
        <v>Office</v>
      </c>
      <c r="C47" s="525">
        <f t="shared" si="32"/>
        <v>0</v>
      </c>
      <c r="D47" s="526" t="b">
        <f t="shared" si="33"/>
        <v>0</v>
      </c>
      <c r="E47" s="526" t="str">
        <f t="shared" si="34"/>
        <v>CBECS</v>
      </c>
      <c r="F47" s="617">
        <f t="shared" si="55"/>
        <v>117.36242694729427</v>
      </c>
      <c r="G47" s="531">
        <f>IF(D47,D23,'Typology Baseline - climate adj'!H47*$I$57+'Typology Baseline - climate adj'!I47)</f>
        <v>48.195180722891571</v>
      </c>
      <c r="H47" s="531">
        <f>IF(D47,C23,SUM('Typology Baseline - climate adj'!C47*$K$57*$K$58*G23,'Typology Baseline - climate adj'!$D47*H23,'Typology Baseline - climate adj'!$E47:$F47))</f>
        <v>69.167246224402703</v>
      </c>
      <c r="I47" s="531">
        <f>'Typology Baseline - climate adj'!H47*$I$57/'Typology Baseline - climate adj'!G47*G47</f>
        <v>4.121138701352689</v>
      </c>
      <c r="J47" s="531">
        <f t="shared" si="56"/>
        <v>44.07404202153888</v>
      </c>
      <c r="K47" s="531">
        <f>IF(G23,'Typology Baseline - climate adj'!C47*$K$57*H47/SUM('Typology Baseline - climate adj'!C47*$K$57,'Typology Baseline - climate adj'!$D47:$F47),0)</f>
        <v>48.769248177015477</v>
      </c>
      <c r="L47" s="531">
        <f>IF(H23,($H47-$K47)/SUM('Typology Baseline - climate adj'!$D47:$F47)*'Typology Baseline - climate adj'!D47,0)</f>
        <v>6.8950979315111747</v>
      </c>
      <c r="M47" s="531">
        <f>IF('Typology Baseline - climate adj'!E47=0,0,($H47-$K47-$L47)/SUM('Typology Baseline - climate adj'!$E47:$F47)*'Typology Baseline - climate adj'!E47)</f>
        <v>0</v>
      </c>
      <c r="N47" s="618">
        <f>IF('Typology Baseline - climate adj'!F47=0,0,($H47-$K47-$L47)/SUM('Typology Baseline - climate adj'!$E47:$F47)*'Typology Baseline - climate adj'!F47)</f>
        <v>13.50290011587605</v>
      </c>
      <c r="O47" s="612"/>
      <c r="P47" s="526"/>
      <c r="Q47" s="525">
        <f t="shared" si="37"/>
        <v>34.138473723910835</v>
      </c>
      <c r="R47" s="525">
        <f t="shared" si="38"/>
        <v>6.8950979315111747</v>
      </c>
      <c r="S47" s="525">
        <f t="shared" si="39"/>
        <v>0</v>
      </c>
      <c r="T47" s="525">
        <f t="shared" si="40"/>
        <v>13.50290011587605</v>
      </c>
      <c r="U47" s="525"/>
      <c r="V47" s="525">
        <f t="shared" si="57"/>
        <v>54.536471771298061</v>
      </c>
      <c r="W47" s="533">
        <f t="shared" si="42"/>
        <v>33.736626506024095</v>
      </c>
      <c r="X47" s="533">
        <f t="shared" si="62"/>
        <v>88.273098277322163</v>
      </c>
      <c r="Y47" s="526"/>
      <c r="Z47" s="525">
        <f>SUMPRODUCT(Q47:T47,'Electrification of Gas End Uses'!$D$4:$G$4)</f>
        <v>25.701799987545762</v>
      </c>
      <c r="AA47" s="533">
        <f t="shared" si="63"/>
        <v>33.736626506024095</v>
      </c>
      <c r="AB47" s="533">
        <f t="shared" si="64"/>
        <v>59.438426493569857</v>
      </c>
      <c r="AD47" s="525">
        <f t="shared" si="58"/>
        <v>9.8999999999999986</v>
      </c>
      <c r="AE47" s="538">
        <f t="shared" si="65"/>
        <v>6.8950979315111747</v>
      </c>
      <c r="AF47" s="538">
        <f t="shared" si="59"/>
        <v>0</v>
      </c>
      <c r="AG47" s="538">
        <f t="shared" si="31"/>
        <v>13.50290011587605</v>
      </c>
      <c r="AH47" s="538">
        <f t="shared" si="50"/>
        <v>30.851829415077212</v>
      </c>
      <c r="AI47" s="539">
        <f t="shared" si="60"/>
        <v>2.8847970909468823</v>
      </c>
      <c r="AJ47" s="525">
        <f>SUMPRODUCT(AD47:AG47,'Electrification of Gas End Uses'!$D$4:$G$4)</f>
        <v>17.945488395894294</v>
      </c>
      <c r="AK47" s="533">
        <f t="shared" si="66"/>
        <v>33.736626506024095</v>
      </c>
      <c r="AL47" s="533">
        <f t="shared" si="61"/>
        <v>51.682114901918389</v>
      </c>
      <c r="AN47" s="534">
        <f>SUMPRODUCT(K47:N47,'Electrification of Gas End Uses'!$D$5:$G$5)</f>
        <v>14.194198015634003</v>
      </c>
      <c r="AO47" s="521">
        <f>SUMPRODUCT(K47:N47,'Electrification of Gas End Uses'!$D$6:$G$6)</f>
        <v>59.837584364822227</v>
      </c>
      <c r="AP47" s="540">
        <f>(AH$57+IF(AH47&gt;(AH$60),AH47-AH$60,0))*(1+$AH$59)/'Electrification of Gas End Uses'!$D$12</f>
        <v>11.893051766030885</v>
      </c>
      <c r="AQ47" s="541">
        <f t="shared" si="54"/>
        <v>0</v>
      </c>
    </row>
    <row r="48" spans="1:43" ht="14.25" x14ac:dyDescent="0.2">
      <c r="B48" s="367" t="str">
        <f>'Typology Baseline - climate adj'!A48</f>
        <v>Other</v>
      </c>
      <c r="C48" s="525">
        <f t="shared" si="32"/>
        <v>0</v>
      </c>
      <c r="D48" s="526" t="b">
        <f t="shared" si="33"/>
        <v>0</v>
      </c>
      <c r="E48" s="526" t="str">
        <f t="shared" si="34"/>
        <v>CBECS</v>
      </c>
      <c r="F48" s="617">
        <f t="shared" si="55"/>
        <v>186.1882698236459</v>
      </c>
      <c r="G48" s="531">
        <f>IF(D48,D24,'Typology Baseline - climate adj'!H48*$I$57+'Typology Baseline - climate adj'!I48)</f>
        <v>88.069879518072298</v>
      </c>
      <c r="H48" s="531">
        <f>IF(D48,C24,SUM('Typology Baseline - climate adj'!C48*$K$57*$K$58*G24,'Typology Baseline - climate adj'!$D48*H24,'Typology Baseline - climate adj'!$E48:$F48))</f>
        <v>98.118390305573584</v>
      </c>
      <c r="I48" s="531">
        <f>'Typology Baseline - climate adj'!H49*$I$57/'Typology Baseline - climate adj'!G49*G48</f>
        <v>20.395837550715324</v>
      </c>
      <c r="J48" s="531">
        <f t="shared" si="56"/>
        <v>67.67404196735697</v>
      </c>
      <c r="K48" s="531">
        <f>IF(G24,'Typology Baseline - climate adj'!C48*$K$57*H48/SUM('Typology Baseline - climate adj'!C48*$K$57,'Typology Baseline - climate adj'!$D48:$F48),0)</f>
        <v>94.44786492836333</v>
      </c>
      <c r="L48" s="531">
        <f>IF(H24,($H48-$K48)/SUM('Typology Baseline - climate adj'!$D48:$F48)*'Typology Baseline - climate adj'!D48,0)</f>
        <v>3.6705253772102537</v>
      </c>
      <c r="M48" s="531">
        <f>IF('Typology Baseline - climate adj'!E48=0,0,($H48-$K48-$L48)/SUM('Typology Baseline - climate adj'!$E48:$F48)*'Typology Baseline - climate adj'!E48)</f>
        <v>0</v>
      </c>
      <c r="N48" s="618">
        <f>IF('Typology Baseline - climate adj'!F48=0,0,($H48-$K48-$L48)/SUM('Typology Baseline - climate adj'!$E48:$F48)*'Typology Baseline - climate adj'!F48)</f>
        <v>0</v>
      </c>
      <c r="O48" s="612"/>
      <c r="P48" s="526"/>
      <c r="Q48" s="525">
        <f t="shared" si="37"/>
        <v>66.11350544985433</v>
      </c>
      <c r="R48" s="525">
        <f t="shared" si="38"/>
        <v>3.6705253772102537</v>
      </c>
      <c r="S48" s="525">
        <f t="shared" si="39"/>
        <v>0</v>
      </c>
      <c r="T48" s="525">
        <f t="shared" si="40"/>
        <v>0</v>
      </c>
      <c r="U48" s="525"/>
      <c r="V48" s="525">
        <f t="shared" si="57"/>
        <v>69.784030827064583</v>
      </c>
      <c r="W48" s="533">
        <f t="shared" si="42"/>
        <v>61.648915662650602</v>
      </c>
      <c r="X48" s="533">
        <f t="shared" si="62"/>
        <v>131.43294648971519</v>
      </c>
      <c r="Y48" s="526"/>
      <c r="Z48" s="525">
        <f>SUMPRODUCT(Q48:T48,'Electrification of Gas End Uses'!$D$4:$G$4)</f>
        <v>22.657900307357579</v>
      </c>
      <c r="AA48" s="533">
        <f t="shared" si="63"/>
        <v>61.648915662650602</v>
      </c>
      <c r="AB48" s="533">
        <f t="shared" si="64"/>
        <v>84.306815970008188</v>
      </c>
      <c r="AD48" s="525">
        <f t="shared" si="58"/>
        <v>9.8999999999999986</v>
      </c>
      <c r="AE48" s="538">
        <f t="shared" si="65"/>
        <v>3.6705253772102537</v>
      </c>
      <c r="AF48" s="538">
        <f t="shared" si="59"/>
        <v>0</v>
      </c>
      <c r="AG48" s="538">
        <f t="shared" si="31"/>
        <v>0</v>
      </c>
      <c r="AH48" s="538">
        <f t="shared" si="50"/>
        <v>47.371829377149879</v>
      </c>
      <c r="AI48" s="539">
        <f t="shared" si="60"/>
        <v>18.501051750859951</v>
      </c>
      <c r="AJ48" s="525">
        <f>SUMPRODUCT(AD48:AG48,'Electrification of Gas End Uses'!$D$4:$G$4)</f>
        <v>4.669578563404194</v>
      </c>
      <c r="AK48" s="533">
        <f t="shared" si="66"/>
        <v>65.872881128009823</v>
      </c>
      <c r="AL48" s="533">
        <f t="shared" si="61"/>
        <v>70.542459691414024</v>
      </c>
      <c r="AN48" s="534">
        <f>SUMPRODUCT(K48:N48,'Electrification of Gas End Uses'!$D$5:$G$5)</f>
        <v>9.7519959867968975</v>
      </c>
      <c r="AO48" s="521">
        <f>SUMPRODUCT(K48:N48,'Electrification of Gas End Uses'!$D$6:$G$6)</f>
        <v>98.039744751177551</v>
      </c>
      <c r="AP48" s="540">
        <f>(AH$57+IF(AH48&gt;(AH$60),AH48-AH$60,0))*(1+$AH$59)/'Electrification of Gas End Uses'!$D$12</f>
        <v>18.501051750859951</v>
      </c>
      <c r="AQ48" s="541">
        <f t="shared" si="54"/>
        <v>-0.29585626793114828</v>
      </c>
    </row>
    <row r="49" spans="1:43" ht="14.25" x14ac:dyDescent="0.2">
      <c r="B49" s="367" t="str">
        <f>'Typology Baseline - climate adj'!A49</f>
        <v>Public assembly</v>
      </c>
      <c r="C49" s="525">
        <f t="shared" si="32"/>
        <v>0</v>
      </c>
      <c r="D49" s="526" t="b">
        <f t="shared" si="33"/>
        <v>0</v>
      </c>
      <c r="E49" s="526" t="str">
        <f t="shared" si="34"/>
        <v>CBECS</v>
      </c>
      <c r="F49" s="617">
        <f t="shared" si="55"/>
        <v>125.43590301105317</v>
      </c>
      <c r="G49" s="531">
        <f>IF(D49,D25,'Typology Baseline - climate adj'!H49*$I$57+'Typology Baseline - climate adj'!I49)</f>
        <v>36.736144578313251</v>
      </c>
      <c r="H49" s="531">
        <f>IF(D49,C25,SUM('Typology Baseline - climate adj'!C49*$K$57*$K$58*G25,'Typology Baseline - climate adj'!$D49*H25,'Typology Baseline - climate adj'!$E49:$F49))</f>
        <v>88.699758432739912</v>
      </c>
      <c r="I49" s="531">
        <f>'Typology Baseline - climate adj'!H50*$I$57/'Typology Baseline - climate adj'!G50*G49</f>
        <v>5.3112498185513122</v>
      </c>
      <c r="J49" s="531">
        <f t="shared" si="56"/>
        <v>31.424894759761941</v>
      </c>
      <c r="K49" s="531">
        <f>IF(G25,'Typology Baseline - climate adj'!C49*$K$57*H49/SUM('Typology Baseline - climate adj'!C49*$K$57,'Typology Baseline - climate adj'!$D49:$F49),0)</f>
        <v>69.131173585404952</v>
      </c>
      <c r="L49" s="531">
        <f>IF(H25,($H49-$K49)/SUM('Typology Baseline - climate adj'!$D49:$F49)*'Typology Baseline - climate adj'!D49,0)</f>
        <v>3.1131839529851075</v>
      </c>
      <c r="M49" s="531">
        <f>IF('Typology Baseline - climate adj'!E49=0,0,($H49-$K49-$L49)/SUM('Typology Baseline - climate adj'!$E49:$F49)*'Typology Baseline - climate adj'!E49)</f>
        <v>9.4877987138593749</v>
      </c>
      <c r="N49" s="618">
        <f>IF('Typology Baseline - climate adj'!F49=0,0,($H49-$K49-$L49)/SUM('Typology Baseline - climate adj'!$E49:$F49)*'Typology Baseline - climate adj'!F49)</f>
        <v>6.967602180490478</v>
      </c>
      <c r="O49" s="612"/>
      <c r="P49" s="526"/>
      <c r="Q49" s="525">
        <f t="shared" si="37"/>
        <v>48.391821509783462</v>
      </c>
      <c r="R49" s="525">
        <f t="shared" si="38"/>
        <v>3.1131839529851075</v>
      </c>
      <c r="S49" s="525">
        <f t="shared" si="39"/>
        <v>9.4877987138593749</v>
      </c>
      <c r="T49" s="525">
        <f t="shared" si="40"/>
        <v>6.967602180490478</v>
      </c>
      <c r="U49" s="525"/>
      <c r="V49" s="525">
        <f t="shared" si="57"/>
        <v>67.96040635711843</v>
      </c>
      <c r="W49" s="533">
        <f t="shared" si="42"/>
        <v>25.715301204819273</v>
      </c>
      <c r="X49" s="533">
        <f t="shared" si="62"/>
        <v>93.675707561937699</v>
      </c>
      <c r="Y49" s="526"/>
      <c r="Z49" s="525">
        <f>SUMPRODUCT(Q49:T49,'Electrification of Gas End Uses'!$D$4:$G$4)</f>
        <v>28.708727079828773</v>
      </c>
      <c r="AA49" s="533">
        <f t="shared" si="63"/>
        <v>25.715301204819273</v>
      </c>
      <c r="AB49" s="533">
        <f t="shared" si="64"/>
        <v>54.424028284648045</v>
      </c>
      <c r="AD49" s="525">
        <f t="shared" si="58"/>
        <v>9.8999999999999986</v>
      </c>
      <c r="AE49" s="538">
        <f t="shared" si="65"/>
        <v>3.1131839529851075</v>
      </c>
      <c r="AF49" s="538">
        <f t="shared" si="59"/>
        <v>9.4877987138593749</v>
      </c>
      <c r="AG49" s="538">
        <f t="shared" si="31"/>
        <v>6.967602180490478</v>
      </c>
      <c r="AH49" s="538">
        <f t="shared" si="50"/>
        <v>21.997426331833356</v>
      </c>
      <c r="AI49" s="539">
        <f t="shared" si="60"/>
        <v>3.7178748729859183</v>
      </c>
      <c r="AJ49" s="525">
        <f>SUMPRODUCT(AD49:AG49,'Electrification of Gas End Uses'!$D$4:$G$4)</f>
        <v>16.391344196698064</v>
      </c>
      <c r="AK49" s="533">
        <f t="shared" si="66"/>
        <v>25.715301204819276</v>
      </c>
      <c r="AL49" s="533">
        <f t="shared" si="61"/>
        <v>42.106645401517341</v>
      </c>
      <c r="AN49" s="534">
        <f>SUMPRODUCT(K49:N49,'Electrification of Gas End Uses'!$D$5:$G$5)</f>
        <v>18.832580747899225</v>
      </c>
      <c r="AO49" s="521">
        <f>SUMPRODUCT(K49:N49,'Electrification of Gas End Uses'!$D$6:$G$6)</f>
        <v>82.876424200402226</v>
      </c>
      <c r="AP49" s="540">
        <f>(AH$57+IF(AH49&gt;(AH$60),AH49-AH$60,0))*(1+$AH$59)/'Electrification of Gas End Uses'!$D$12</f>
        <v>8.3512905327333407</v>
      </c>
      <c r="AQ49" s="541">
        <f t="shared" si="54"/>
        <v>0</v>
      </c>
    </row>
    <row r="50" spans="1:43" ht="14.25" x14ac:dyDescent="0.2">
      <c r="B50" s="367" t="str">
        <f>'Typology Baseline - climate adj'!A50</f>
        <v>Public order and safety</v>
      </c>
      <c r="C50" s="525">
        <f t="shared" si="32"/>
        <v>0</v>
      </c>
      <c r="D50" s="526" t="b">
        <f t="shared" si="33"/>
        <v>0</v>
      </c>
      <c r="E50" s="526" t="str">
        <f t="shared" si="34"/>
        <v>CBECS</v>
      </c>
      <c r="F50" s="617">
        <f t="shared" si="55"/>
        <v>120.15823499364117</v>
      </c>
      <c r="G50" s="531">
        <f>IF(D50,D26,'Typology Baseline - climate adj'!H50*$I$57+'Typology Baseline - climate adj'!I50)</f>
        <v>40.077108433734949</v>
      </c>
      <c r="H50" s="531">
        <f>IF(D50,C26,SUM('Typology Baseline - climate adj'!C50*$K$57*$K$58*G26,'Typology Baseline - climate adj'!$D50*H26,'Typology Baseline - climate adj'!$E50:$F50))</f>
        <v>80.081126559906224</v>
      </c>
      <c r="I50" s="531">
        <f>'Typology Baseline - climate adj'!H51*$I$57/'Typology Baseline - climate adj'!G51*G50</f>
        <v>5.2476504791614751</v>
      </c>
      <c r="J50" s="531">
        <f t="shared" si="56"/>
        <v>34.829457954573471</v>
      </c>
      <c r="K50" s="531">
        <f>IF(G26,'Typology Baseline - climate adj'!C50*$K$57*H50/SUM('Typology Baseline - climate adj'!C50*$K$57,'Typology Baseline - climate adj'!$D50:$F50),0)</f>
        <v>46.274238931821714</v>
      </c>
      <c r="L50" s="531">
        <f>IF(H26,($H50-$K50)/SUM('Typology Baseline - climate adj'!$D50:$F50)*'Typology Baseline - climate adj'!D50,0)</f>
        <v>29.054915471526446</v>
      </c>
      <c r="M50" s="531">
        <f>IF('Typology Baseline - climate adj'!E50=0,0,($H50-$K50-$L50)/SUM('Typology Baseline - climate adj'!$E50:$F50)*'Typology Baseline - climate adj'!E50)</f>
        <v>4.7519721565580646</v>
      </c>
      <c r="N50" s="618">
        <f>IF('Typology Baseline - climate adj'!F50=0,0,($H50-$K50-$L50)/SUM('Typology Baseline - climate adj'!$E50:$F50)*'Typology Baseline - climate adj'!F50)</f>
        <v>0</v>
      </c>
      <c r="O50" s="612"/>
      <c r="P50" s="526"/>
      <c r="Q50" s="525">
        <f t="shared" si="37"/>
        <v>32.391967252275201</v>
      </c>
      <c r="R50" s="525">
        <f t="shared" si="38"/>
        <v>29.054915471526446</v>
      </c>
      <c r="S50" s="525">
        <f t="shared" si="39"/>
        <v>4.7519721565580646</v>
      </c>
      <c r="T50" s="525">
        <f t="shared" si="40"/>
        <v>0</v>
      </c>
      <c r="U50" s="525"/>
      <c r="V50" s="525">
        <f t="shared" si="57"/>
        <v>66.198854880359718</v>
      </c>
      <c r="W50" s="533">
        <f t="shared" si="42"/>
        <v>28.053975903614461</v>
      </c>
      <c r="X50" s="533">
        <f t="shared" si="62"/>
        <v>94.252830783974176</v>
      </c>
      <c r="Y50" s="526"/>
      <c r="Z50" s="525">
        <f>SUMPRODUCT(Q50:T50,'Electrification of Gas End Uses'!$D$4:$G$4)</f>
        <v>25.146441171528416</v>
      </c>
      <c r="AA50" s="533">
        <f t="shared" si="63"/>
        <v>28.053975903614461</v>
      </c>
      <c r="AB50" s="533">
        <f t="shared" si="64"/>
        <v>53.20041707514288</v>
      </c>
      <c r="AD50" s="525">
        <f t="shared" si="58"/>
        <v>9.8999999999999986</v>
      </c>
      <c r="AE50" s="538">
        <f t="shared" si="65"/>
        <v>29.054915471526446</v>
      </c>
      <c r="AF50" s="538">
        <f t="shared" si="59"/>
        <v>4.7519721565580646</v>
      </c>
      <c r="AG50" s="538">
        <f t="shared" si="31"/>
        <v>0</v>
      </c>
      <c r="AH50" s="538">
        <f t="shared" si="50"/>
        <v>24.380620568201429</v>
      </c>
      <c r="AI50" s="539">
        <f t="shared" si="60"/>
        <v>3.6733553354130324</v>
      </c>
      <c r="AJ50" s="525">
        <f>SUMPRODUCT(AD50:AG50,'Electrification of Gas End Uses'!$D$4:$G$4)</f>
        <v>17.949011650800347</v>
      </c>
      <c r="AK50" s="533">
        <f t="shared" si="66"/>
        <v>28.053975903614461</v>
      </c>
      <c r="AL50" s="533">
        <f t="shared" si="61"/>
        <v>46.002987554414808</v>
      </c>
      <c r="AN50" s="534">
        <f>SUMPRODUCT(K50:N50,'Electrification of Gas End Uses'!$D$5:$G$5)</f>
        <v>11.208722761508932</v>
      </c>
      <c r="AO50" s="521">
        <f>SUMPRODUCT(K50:N50,'Electrification of Gas End Uses'!$D$6:$G$6)</f>
        <v>57.738985619037962</v>
      </c>
      <c r="AP50" s="540">
        <f>(AH$57+IF(AH50&gt;(AH$60),AH50-AH$60,0))*(1+$AH$59)/'Electrification of Gas End Uses'!$D$12</f>
        <v>9.3045682272805728</v>
      </c>
      <c r="AQ50" s="541">
        <f t="shared" si="54"/>
        <v>0</v>
      </c>
    </row>
    <row r="51" spans="1:43" ht="14.25" x14ac:dyDescent="0.2">
      <c r="B51" s="367" t="str">
        <f>'Typology Baseline - climate adj'!A51</f>
        <v>Religious worship</v>
      </c>
      <c r="C51" s="525">
        <f t="shared" si="32"/>
        <v>0</v>
      </c>
      <c r="D51" s="526" t="b">
        <f t="shared" si="33"/>
        <v>0</v>
      </c>
      <c r="E51" s="526" t="str">
        <f t="shared" si="34"/>
        <v>CBECS</v>
      </c>
      <c r="F51" s="617">
        <f t="shared" si="55"/>
        <v>73.452011586721497</v>
      </c>
      <c r="G51" s="531">
        <f>IF(D51,D27,'Typology Baseline - climate adj'!H51*$I$57+'Typology Baseline - climate adj'!I51)</f>
        <v>14.381927710843375</v>
      </c>
      <c r="H51" s="531">
        <f>IF(D51,C27,SUM('Typology Baseline - climate adj'!C51*$K$57*$K$58*G27,'Typology Baseline - climate adj'!$D51*H27,'Typology Baseline - climate adj'!$E51:$F51))</f>
        <v>59.070083875878119</v>
      </c>
      <c r="I51" s="531">
        <f>'Typology Baseline - climate adj'!H52*$I$57/'Typology Baseline - climate adj'!G52*G51</f>
        <v>1.3916037126801708</v>
      </c>
      <c r="J51" s="531">
        <f t="shared" si="56"/>
        <v>12.990323998163204</v>
      </c>
      <c r="K51" s="531">
        <f>IF(G27,'Typology Baseline - climate adj'!C51*$K$57*H51/SUM('Typology Baseline - climate adj'!C51*$K$57,'Typology Baseline - climate adj'!$D51:$F51),0)</f>
        <v>50.506061627222017</v>
      </c>
      <c r="L51" s="531">
        <f>IF(H27,($H51-$K51)/SUM('Typology Baseline - climate adj'!$D51:$F51)*'Typology Baseline - climate adj'!D51,0)</f>
        <v>0</v>
      </c>
      <c r="M51" s="531">
        <f>IF('Typology Baseline - climate adj'!E51=0,0,($H51-$K51-$L51)/SUM('Typology Baseline - climate adj'!$E51:$F51)*'Typology Baseline - climate adj'!E51)</f>
        <v>8.5640222486561015</v>
      </c>
      <c r="N51" s="618">
        <f>IF('Typology Baseline - climate adj'!F51=0,0,($H51-$K51-$L51)/SUM('Typology Baseline - climate adj'!$E51:$F51)*'Typology Baseline - climate adj'!F51)</f>
        <v>0</v>
      </c>
      <c r="O51" s="612"/>
      <c r="P51" s="526"/>
      <c r="Q51" s="525">
        <f t="shared" si="37"/>
        <v>35.354243139055413</v>
      </c>
      <c r="R51" s="525">
        <f t="shared" si="38"/>
        <v>0</v>
      </c>
      <c r="S51" s="525">
        <f t="shared" si="39"/>
        <v>8.5640222486561015</v>
      </c>
      <c r="T51" s="525">
        <f t="shared" si="40"/>
        <v>0</v>
      </c>
      <c r="U51" s="525"/>
      <c r="V51" s="525">
        <f t="shared" si="57"/>
        <v>43.918265387711514</v>
      </c>
      <c r="W51" s="533">
        <f t="shared" si="42"/>
        <v>10.067349397590361</v>
      </c>
      <c r="X51" s="533">
        <f t="shared" si="62"/>
        <v>53.985614785301877</v>
      </c>
      <c r="Y51" s="526"/>
      <c r="Z51" s="525">
        <f>SUMPRODUCT(Q51:T51,'Electrification of Gas End Uses'!$D$4:$G$4)</f>
        <v>16.530575349549316</v>
      </c>
      <c r="AA51" s="533">
        <f t="shared" si="63"/>
        <v>10.067349397590361</v>
      </c>
      <c r="AB51" s="533">
        <f t="shared" si="64"/>
        <v>26.597924747139679</v>
      </c>
      <c r="AD51" s="525">
        <f t="shared" si="58"/>
        <v>9.8999999999999986</v>
      </c>
      <c r="AE51" s="538">
        <f t="shared" si="65"/>
        <v>0</v>
      </c>
      <c r="AF51" s="538">
        <f t="shared" si="59"/>
        <v>8.5640222486561015</v>
      </c>
      <c r="AG51" s="538">
        <f t="shared" si="31"/>
        <v>0</v>
      </c>
      <c r="AH51" s="538">
        <f t="shared" si="50"/>
        <v>9.0932267987142428</v>
      </c>
      <c r="AI51" s="539">
        <f t="shared" si="60"/>
        <v>0.97412259887611952</v>
      </c>
      <c r="AJ51" s="525">
        <f>SUMPRODUCT(AD51:AG51,'Electrification of Gas End Uses'!$D$4:$G$4)</f>
        <v>8.3852175450515833</v>
      </c>
      <c r="AK51" s="533">
        <f t="shared" si="66"/>
        <v>10.067349397590363</v>
      </c>
      <c r="AL51" s="533">
        <f t="shared" si="61"/>
        <v>18.452566942641944</v>
      </c>
      <c r="AN51" s="534">
        <f>SUMPRODUCT(K51:N51,'Electrification of Gas End Uses'!$D$5:$G$5)</f>
        <v>11.503072950089994</v>
      </c>
      <c r="AO51" s="521">
        <f>SUMPRODUCT(K51:N51,'Electrification of Gas End Uses'!$D$6:$G$6)</f>
        <v>58.164875847824</v>
      </c>
      <c r="AP51" s="540">
        <f>(AH$57+IF(AH51&gt;(AH$60),AH51-AH$60,0))*(1+$AH$59)/'Electrification of Gas End Uses'!$D$12</f>
        <v>3.1896107194856969</v>
      </c>
      <c r="AQ51" s="541">
        <f t="shared" si="54"/>
        <v>0</v>
      </c>
    </row>
    <row r="52" spans="1:43" ht="14.25" x14ac:dyDescent="0.2">
      <c r="B52" s="367" t="str">
        <f>'Typology Baseline - climate adj'!A52</f>
        <v>Service</v>
      </c>
      <c r="C52" s="525">
        <f t="shared" si="32"/>
        <v>0</v>
      </c>
      <c r="D52" s="526" t="b">
        <f t="shared" si="33"/>
        <v>0</v>
      </c>
      <c r="E52" s="526" t="str">
        <f t="shared" si="34"/>
        <v>CBECS</v>
      </c>
      <c r="F52" s="617">
        <f t="shared" si="55"/>
        <v>114.81426609169876</v>
      </c>
      <c r="G52" s="531">
        <f>IF(D52,D28,'Typology Baseline - climate adj'!H52*$I$57+'Typology Baseline - climate adj'!I52)</f>
        <v>23.886746987951806</v>
      </c>
      <c r="H52" s="531">
        <f>IF(D52,C28,SUM('Typology Baseline - climate adj'!C52*$K$57*$K$58*G28,'Typology Baseline - climate adj'!$D52*H28,'Typology Baseline - climate adj'!$E52:$F52))</f>
        <v>90.927519103746945</v>
      </c>
      <c r="I52" s="531">
        <f>'Typology Baseline - climate adj'!H53*$I$57/'Typology Baseline - climate adj'!G53*G52</f>
        <v>2.1644090324988805</v>
      </c>
      <c r="J52" s="531">
        <f t="shared" si="56"/>
        <v>21.722337955452925</v>
      </c>
      <c r="K52" s="531">
        <f>IF(G28,'Typology Baseline - climate adj'!C52*$K$57*H52/SUM('Typology Baseline - climate adj'!C52*$K$57,'Typology Baseline - climate adj'!$D52:$F52),0)</f>
        <v>68.892204619620841</v>
      </c>
      <c r="L52" s="531">
        <f>IF(H28,($H52-$K52)/SUM('Typology Baseline - climate adj'!$D52:$F52)*'Typology Baseline - climate adj'!D52,0)</f>
        <v>22.035314484126104</v>
      </c>
      <c r="M52" s="531">
        <f>IF('Typology Baseline - climate adj'!E52=0,0,($H52-$K52-$L52)/SUM('Typology Baseline - climate adj'!$E52:$F52)*'Typology Baseline - climate adj'!E52)</f>
        <v>0</v>
      </c>
      <c r="N52" s="618">
        <f>IF('Typology Baseline - climate adj'!F52=0,0,($H52-$K52-$L52)/SUM('Typology Baseline - climate adj'!$E52:$F52)*'Typology Baseline - climate adj'!F52)</f>
        <v>0</v>
      </c>
      <c r="O52" s="612"/>
      <c r="P52" s="526"/>
      <c r="Q52" s="525">
        <f t="shared" si="37"/>
        <v>48.224543233734586</v>
      </c>
      <c r="R52" s="525">
        <f t="shared" si="38"/>
        <v>22.035314484126104</v>
      </c>
      <c r="S52" s="525">
        <f t="shared" si="39"/>
        <v>0</v>
      </c>
      <c r="T52" s="525">
        <f t="shared" si="40"/>
        <v>0</v>
      </c>
      <c r="U52" s="525"/>
      <c r="V52" s="525">
        <f t="shared" si="57"/>
        <v>70.259857717860683</v>
      </c>
      <c r="W52" s="533">
        <f t="shared" si="42"/>
        <v>16.720722891566265</v>
      </c>
      <c r="X52" s="533">
        <f t="shared" si="62"/>
        <v>86.980580609426951</v>
      </c>
      <c r="Y52" s="526"/>
      <c r="Z52" s="525">
        <f>SUMPRODUCT(Q52:T52,'Electrification of Gas End Uses'!$D$4:$G$4)</f>
        <v>24.446300669210292</v>
      </c>
      <c r="AA52" s="533">
        <f t="shared" si="63"/>
        <v>16.720722891566265</v>
      </c>
      <c r="AB52" s="533">
        <f t="shared" si="64"/>
        <v>41.167023560776556</v>
      </c>
      <c r="AD52" s="525">
        <f t="shared" si="58"/>
        <v>9.8999999999999986</v>
      </c>
      <c r="AE52" s="538">
        <f t="shared" si="65"/>
        <v>22.035314484126104</v>
      </c>
      <c r="AF52" s="538">
        <f t="shared" si="59"/>
        <v>0</v>
      </c>
      <c r="AG52" s="538">
        <f t="shared" si="31"/>
        <v>0</v>
      </c>
      <c r="AH52" s="538">
        <f t="shared" si="50"/>
        <v>15.205636568817047</v>
      </c>
      <c r="AI52" s="539">
        <f t="shared" si="60"/>
        <v>1.5150863227492162</v>
      </c>
      <c r="AJ52" s="525">
        <f>SUMPRODUCT(AD52:AG52,'Electrification of Gas End Uses'!$D$4:$G$4)</f>
        <v>12.182446834415224</v>
      </c>
      <c r="AK52" s="533">
        <f t="shared" si="66"/>
        <v>16.720722891566265</v>
      </c>
      <c r="AL52" s="533">
        <f t="shared" si="61"/>
        <v>28.903169725981488</v>
      </c>
      <c r="AN52" s="534">
        <f>SUMPRODUCT(K52:N52,'Electrification of Gas End Uses'!$D$5:$G$5)</f>
        <v>9.1222083526975872</v>
      </c>
      <c r="AO52" s="521">
        <f>SUMPRODUCT(K52:N52,'Electrification of Gas End Uses'!$D$6:$G$6)</f>
        <v>75.965555297675806</v>
      </c>
      <c r="AP52" s="540">
        <f>(AH$57+IF(AH52&gt;(AH$60),AH52-AH$60,0))*(1+$AH$59)/'Electrification of Gas End Uses'!$D$12</f>
        <v>5.6345746275268187</v>
      </c>
      <c r="AQ52" s="541">
        <f t="shared" si="54"/>
        <v>0</v>
      </c>
    </row>
    <row r="53" spans="1:43" ht="14.25" x14ac:dyDescent="0.2">
      <c r="B53" s="367" t="str">
        <f>'Typology Baseline - climate adj'!A53</f>
        <v>Warehouse and storage</v>
      </c>
      <c r="C53" s="525">
        <f t="shared" si="32"/>
        <v>0</v>
      </c>
      <c r="D53" s="526" t="b">
        <f t="shared" si="33"/>
        <v>0</v>
      </c>
      <c r="E53" s="526" t="str">
        <f t="shared" si="34"/>
        <v>CBECS</v>
      </c>
      <c r="F53" s="617">
        <f t="shared" si="55"/>
        <v>65.884281089327544</v>
      </c>
      <c r="G53" s="531">
        <f>IF(D53,D29,'Typology Baseline - climate adj'!H53*$I$57+'Typology Baseline - climate adj'!I53)</f>
        <v>20.266265060240968</v>
      </c>
      <c r="H53" s="531">
        <f>IF(D53,C29,SUM('Typology Baseline - climate adj'!C53*$K$57*$K$58*G29,'Typology Baseline - climate adj'!$D53*H29,'Typology Baseline - climate adj'!$E53:$F53))</f>
        <v>45.618016029086583</v>
      </c>
      <c r="I53" s="531">
        <f>'Typology Baseline - climate adj'!H48*$I$57/'Typology Baseline - climate adj'!G48*G53</f>
        <v>1.7810793871361406</v>
      </c>
      <c r="J53" s="531">
        <f t="shared" si="56"/>
        <v>18.485185673104827</v>
      </c>
      <c r="K53" s="531">
        <f>IF(G29,'Typology Baseline - climate adj'!C53*$K$57*H53/SUM('Typology Baseline - climate adj'!C53*$K$57,'Typology Baseline - climate adj'!$D53:$F53),0)</f>
        <v>31.487833589043127</v>
      </c>
      <c r="L53" s="531">
        <f>IF(H29,($H53-$K53)/SUM('Typology Baseline - climate adj'!$D53:$F53)*'Typology Baseline - climate adj'!D53,0)</f>
        <v>4.1391443511238402</v>
      </c>
      <c r="M53" s="531">
        <f>IF('Typology Baseline - climate adj'!E53=0,0,($H53-$K53-$L53)/SUM('Typology Baseline - climate adj'!$E53:$F53)*'Typology Baseline - climate adj'!E53)</f>
        <v>0</v>
      </c>
      <c r="N53" s="618">
        <f>IF('Typology Baseline - climate adj'!F53=0,0,($H53-$K53-$L53)/SUM('Typology Baseline - climate adj'!$E53:$F53)*'Typology Baseline - climate adj'!F53)</f>
        <v>9.9910380889196162</v>
      </c>
      <c r="O53" s="612"/>
      <c r="P53" s="526"/>
      <c r="Q53" s="525">
        <f t="shared" si="37"/>
        <v>22.041483512330188</v>
      </c>
      <c r="R53" s="525">
        <f t="shared" si="38"/>
        <v>4.1391443511238402</v>
      </c>
      <c r="S53" s="525">
        <f t="shared" si="39"/>
        <v>0</v>
      </c>
      <c r="T53" s="525">
        <f t="shared" si="40"/>
        <v>9.9910380889196162</v>
      </c>
      <c r="U53" s="525"/>
      <c r="V53" s="525">
        <f t="shared" si="57"/>
        <v>36.171665952373644</v>
      </c>
      <c r="W53" s="533">
        <f t="shared" si="42"/>
        <v>14.186385542168678</v>
      </c>
      <c r="X53" s="533">
        <f t="shared" si="62"/>
        <v>50.358051494542323</v>
      </c>
      <c r="Y53" s="526"/>
      <c r="Z53" s="525">
        <f>SUMPRODUCT(Q53:T53,'Electrification of Gas End Uses'!$D$4:$G$4)</f>
        <v>17.593587143410566</v>
      </c>
      <c r="AA53" s="533">
        <f t="shared" si="63"/>
        <v>14.186385542168678</v>
      </c>
      <c r="AB53" s="533">
        <f t="shared" si="64"/>
        <v>31.779972685579246</v>
      </c>
      <c r="AD53" s="525">
        <f t="shared" si="58"/>
        <v>9.8999999999999986</v>
      </c>
      <c r="AE53" s="538">
        <f t="shared" si="65"/>
        <v>4.1391443511238402</v>
      </c>
      <c r="AF53" s="538">
        <f t="shared" si="59"/>
        <v>0</v>
      </c>
      <c r="AG53" s="538">
        <f t="shared" si="31"/>
        <v>9.9910380889196162</v>
      </c>
      <c r="AH53" s="538">
        <f t="shared" si="50"/>
        <v>12.939629971173378</v>
      </c>
      <c r="AI53" s="539">
        <f t="shared" si="60"/>
        <v>1.2467555709952982</v>
      </c>
      <c r="AJ53" s="525">
        <f>SUMPRODUCT(AD53:AG53,'Electrification of Gas End Uses'!$D$4:$G$4)</f>
        <v>13.708312419464907</v>
      </c>
      <c r="AK53" s="533">
        <f t="shared" si="66"/>
        <v>14.186385542168676</v>
      </c>
      <c r="AL53" s="533">
        <f t="shared" si="61"/>
        <v>27.894697961633582</v>
      </c>
      <c r="AN53" s="534">
        <f>SUMPRODUCT(K53:N53,'Electrification of Gas End Uses'!$D$5:$G$5)</f>
        <v>9.9464868865430951</v>
      </c>
      <c r="AO53" s="521">
        <f>SUMPRODUCT(K53:N53,'Electrification of Gas End Uses'!$D$6:$G$6)</f>
        <v>39.322293194239229</v>
      </c>
      <c r="AP53" s="540">
        <f>(AH$57+IF(AH53&gt;(AH$60),AH53-AH$60,0))*(1+$AH$59)/'Electrification of Gas End Uses'!$D$12</f>
        <v>4.7281719884693505</v>
      </c>
      <c r="AQ53" s="541">
        <f t="shared" si="54"/>
        <v>0</v>
      </c>
    </row>
    <row r="54" spans="1:43" ht="15" thickBot="1" x14ac:dyDescent="0.25">
      <c r="B54" s="367" t="str">
        <f>'Typology Baseline - climate adj'!A54</f>
        <v>Vacant</v>
      </c>
      <c r="C54" s="525">
        <f t="shared" si="32"/>
        <v>0</v>
      </c>
      <c r="D54" s="526" t="b">
        <f t="shared" si="33"/>
        <v>0</v>
      </c>
      <c r="E54" s="526" t="str">
        <f t="shared" si="34"/>
        <v>CBECS</v>
      </c>
      <c r="F54" s="619">
        <f t="shared" si="55"/>
        <v>47.254339482153377</v>
      </c>
      <c r="G54" s="620">
        <f>IF(D54,D30,'Typology Baseline - climate adj'!H54*$I$57+'Typology Baseline - climate adj'!I54)</f>
        <v>13.772289156626506</v>
      </c>
      <c r="H54" s="620">
        <f>IF(D54,C30,SUM('Typology Baseline - climate adj'!C54*$K$57*$K$58*G30,'Typology Baseline - climate adj'!$D54*H30,'Typology Baseline - climate adj'!$E54:$F54))</f>
        <v>33.48205032552687</v>
      </c>
      <c r="I54" s="620">
        <f>'Typology Baseline - climate adj'!H54*$I$57/'Typology Baseline - climate adj'!G54*G54</f>
        <v>1.1919955208095723</v>
      </c>
      <c r="J54" s="620">
        <f t="shared" si="56"/>
        <v>12.580293635816934</v>
      </c>
      <c r="K54" s="620">
        <f>IF(G30,'Typology Baseline - climate adj'!C54*$K$57*H54/SUM('Typology Baseline - climate adj'!C54*$K$57,'Typology Baseline - climate adj'!$D54:$F54),0)</f>
        <v>31.272586747848347</v>
      </c>
      <c r="L54" s="620">
        <f>IF(H30,($H54-$K54)/SUM('Typology Baseline - climate adj'!$D54:$F54)*'Typology Baseline - climate adj'!D54,0)</f>
        <v>2.2094635776785232</v>
      </c>
      <c r="M54" s="620">
        <f>IF('Typology Baseline - climate adj'!E54=0,0,($H54-$K54-$L54)/SUM('Typology Baseline - climate adj'!$E54:$F54)*'Typology Baseline - climate adj'!E54)</f>
        <v>0</v>
      </c>
      <c r="N54" s="621">
        <f>IF('Typology Baseline - climate adj'!F54=0,0,($H54-$K54-$L54)/SUM('Typology Baseline - climate adj'!$E54:$F54)*'Typology Baseline - climate adj'!F54)</f>
        <v>0</v>
      </c>
      <c r="O54" s="612"/>
      <c r="P54" s="526"/>
      <c r="Q54" s="525">
        <f t="shared" si="37"/>
        <v>21.890810723493843</v>
      </c>
      <c r="R54" s="525">
        <f t="shared" si="38"/>
        <v>2.2094635776785232</v>
      </c>
      <c r="S54" s="525">
        <f t="shared" si="39"/>
        <v>0</v>
      </c>
      <c r="T54" s="525">
        <f t="shared" si="40"/>
        <v>0</v>
      </c>
      <c r="U54" s="525"/>
      <c r="V54" s="525">
        <f t="shared" si="57"/>
        <v>24.100274301172366</v>
      </c>
      <c r="W54" s="533">
        <f t="shared" si="42"/>
        <v>9.6406024096385536</v>
      </c>
      <c r="X54" s="533">
        <f t="shared" si="62"/>
        <v>33.740876710810923</v>
      </c>
      <c r="Y54" s="526"/>
      <c r="Z54" s="525">
        <f>SUMPRODUCT(Q54:T54,'Electrification of Gas End Uses'!$D$4:$G$4)</f>
        <v>7.9089308951137891</v>
      </c>
      <c r="AA54" s="533">
        <f t="shared" si="63"/>
        <v>9.6406024096385536</v>
      </c>
      <c r="AB54" s="533">
        <f t="shared" si="64"/>
        <v>17.549533304752345</v>
      </c>
      <c r="AD54" s="525">
        <f t="shared" si="58"/>
        <v>9.8999999999999986</v>
      </c>
      <c r="AE54" s="538">
        <f t="shared" si="65"/>
        <v>2.2094635776785232</v>
      </c>
      <c r="AF54" s="538">
        <f t="shared" si="59"/>
        <v>0</v>
      </c>
      <c r="AG54" s="538">
        <f t="shared" si="31"/>
        <v>0</v>
      </c>
      <c r="AH54" s="538">
        <f t="shared" si="50"/>
        <v>8.8062055450718528</v>
      </c>
      <c r="AI54" s="539">
        <f t="shared" si="60"/>
        <v>0.83439686456670059</v>
      </c>
      <c r="AJ54" s="525">
        <f>SUMPRODUCT(AD54:AG54,'Electrification of Gas End Uses'!$D$4:$G$4)</f>
        <v>4.0718714635957589</v>
      </c>
      <c r="AK54" s="533">
        <f t="shared" si="66"/>
        <v>9.6406024096385536</v>
      </c>
      <c r="AL54" s="533">
        <f t="shared" si="61"/>
        <v>13.712473873234313</v>
      </c>
      <c r="AN54" s="534">
        <f>SUMPRODUCT(K54:N54,'Electrification of Gas End Uses'!$D$5:$G$5)</f>
        <v>3.3321448120345249</v>
      </c>
      <c r="AO54" s="521">
        <f>SUMPRODUCT(K54:N54,'Electrification of Gas End Uses'!$D$6:$G$6)</f>
        <v>32.690592283534045</v>
      </c>
      <c r="AP54" s="540">
        <f>(AH$57+IF(AH54&gt;(AH$60),AH54-AH$60,0))*(1+$AH$59)/'Electrification of Gas End Uses'!$D$12</f>
        <v>3.0748022180287409</v>
      </c>
      <c r="AQ54" s="541">
        <f t="shared" si="54"/>
        <v>0</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0.57831325301204817</v>
      </c>
      <c r="J57" s="533"/>
      <c r="K57" s="535">
        <f>INDEX('Typology Baseline - climate adj'!$B$4:$B$8,MATCH(C3,'Typology Baseline - climate adj'!A4:A8,0))</f>
        <v>1.3210332103321032</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1.6190382938953043</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row r="65" spans="1:43" ht="14.25" x14ac:dyDescent="0.2">
      <c r="A65" s="138"/>
      <c r="B65" s="138"/>
      <c r="C65" s="138"/>
      <c r="D65" s="138"/>
      <c r="E65" s="138"/>
      <c r="F65" s="526"/>
      <c r="G65" s="526"/>
      <c r="H65" s="526"/>
      <c r="K65" s="138"/>
      <c r="L65" s="138"/>
      <c r="M65" s="138"/>
      <c r="N65" s="138"/>
      <c r="O65" s="138"/>
      <c r="P65" s="138"/>
      <c r="Q65" s="138"/>
      <c r="R65" s="138"/>
      <c r="S65" s="138"/>
      <c r="T65" s="138"/>
      <c r="U65" s="138"/>
      <c r="V65" s="138"/>
      <c r="W65" s="138"/>
      <c r="Z65" s="526"/>
      <c r="AA65" s="526"/>
      <c r="AB65" s="526"/>
      <c r="AC65" s="526"/>
      <c r="AD65" s="138"/>
      <c r="AE65" s="138"/>
      <c r="AJ65" s="138"/>
      <c r="AK65" s="526"/>
      <c r="AL65" s="526"/>
    </row>
    <row r="66" spans="1:43" ht="14.25" x14ac:dyDescent="0.2">
      <c r="A66" s="138"/>
      <c r="B66" s="138"/>
      <c r="C66" s="138"/>
      <c r="D66" s="138"/>
      <c r="E66" s="138"/>
      <c r="F66" s="536"/>
      <c r="G66" s="509"/>
      <c r="H66" s="512"/>
      <c r="I66" s="537"/>
      <c r="J66" s="537"/>
      <c r="K66" s="537"/>
      <c r="L66" s="537"/>
      <c r="M66" s="537"/>
      <c r="N66" s="537"/>
      <c r="O66" s="537"/>
      <c r="P66" s="537"/>
      <c r="Q66" s="537"/>
      <c r="R66" s="537"/>
      <c r="S66" s="138"/>
      <c r="T66" s="537"/>
      <c r="U66" s="537"/>
      <c r="V66" s="537"/>
      <c r="W66" s="138"/>
      <c r="Z66" s="529"/>
      <c r="AA66" s="529"/>
      <c r="AB66" s="529"/>
      <c r="AC66" s="529"/>
      <c r="AD66" s="537"/>
      <c r="AE66" s="537"/>
      <c r="AF66" s="537"/>
      <c r="AG66" s="537"/>
      <c r="AH66" s="537"/>
      <c r="AJ66" s="529"/>
      <c r="AK66" s="529"/>
      <c r="AL66" s="529"/>
      <c r="AO66" s="529"/>
    </row>
    <row r="67" spans="1:43" ht="14.25" x14ac:dyDescent="0.2">
      <c r="A67" s="526"/>
      <c r="C67" s="526"/>
      <c r="D67" s="530"/>
      <c r="E67" s="526"/>
      <c r="F67" s="506"/>
      <c r="G67" s="506"/>
      <c r="H67" s="506"/>
      <c r="I67" s="538"/>
      <c r="J67" s="538"/>
      <c r="K67" s="538"/>
      <c r="L67" s="538"/>
      <c r="M67" s="538"/>
      <c r="N67" s="538"/>
      <c r="O67" s="538"/>
      <c r="P67" s="538"/>
      <c r="Q67" s="538"/>
      <c r="R67" s="538"/>
      <c r="S67" s="138"/>
      <c r="T67" s="416"/>
      <c r="U67" s="416"/>
      <c r="V67" s="533"/>
      <c r="W67" s="138"/>
      <c r="Z67" s="525"/>
      <c r="AA67" s="533"/>
      <c r="AB67" s="533"/>
      <c r="AC67" s="533"/>
      <c r="AD67" s="525"/>
      <c r="AE67" s="538"/>
      <c r="AF67" s="538"/>
      <c r="AG67" s="538"/>
      <c r="AH67" s="539"/>
      <c r="AJ67" s="525"/>
      <c r="AK67" s="533"/>
      <c r="AL67" s="533"/>
      <c r="AN67" s="534"/>
      <c r="AO67" s="534"/>
      <c r="AP67" s="540"/>
      <c r="AQ67" s="541"/>
    </row>
    <row r="68" spans="1:43" ht="14.25" x14ac:dyDescent="0.2">
      <c r="A68" s="526"/>
      <c r="Q68" s="538"/>
      <c r="R68" s="538"/>
      <c r="S68" s="138"/>
      <c r="T68" s="416"/>
      <c r="U68" s="416"/>
      <c r="V68" s="533"/>
      <c r="W68" s="138"/>
      <c r="Z68" s="525"/>
      <c r="AA68" s="533"/>
      <c r="AB68" s="533"/>
      <c r="AC68" s="533"/>
      <c r="AD68" s="525"/>
      <c r="AE68" s="538"/>
      <c r="AF68" s="538"/>
      <c r="AG68" s="538"/>
      <c r="AH68" s="539"/>
      <c r="AJ68" s="525"/>
      <c r="AK68" s="533"/>
      <c r="AL68" s="533"/>
      <c r="AN68" s="534"/>
      <c r="AO68" s="534"/>
      <c r="AP68" s="540"/>
      <c r="AQ68" s="541"/>
    </row>
    <row r="69" spans="1:43" ht="14.25" x14ac:dyDescent="0.2">
      <c r="A69" s="526"/>
      <c r="Q69" s="538"/>
      <c r="R69" s="538"/>
      <c r="S69" s="138"/>
      <c r="T69" s="416"/>
      <c r="U69" s="416"/>
      <c r="V69" s="533"/>
      <c r="W69" s="138"/>
      <c r="Z69" s="525"/>
      <c r="AA69" s="533"/>
      <c r="AB69" s="533"/>
      <c r="AC69" s="533"/>
      <c r="AD69" s="525"/>
      <c r="AE69" s="538"/>
      <c r="AF69" s="538"/>
      <c r="AG69" s="538"/>
      <c r="AH69" s="539"/>
      <c r="AJ69" s="525"/>
      <c r="AK69" s="533"/>
      <c r="AL69" s="533"/>
      <c r="AN69" s="534"/>
      <c r="AO69" s="534"/>
      <c r="AP69" s="540"/>
      <c r="AQ69" s="541"/>
    </row>
    <row r="70" spans="1:43" ht="14.25" x14ac:dyDescent="0.2">
      <c r="A70" s="526"/>
      <c r="Q70" s="538"/>
      <c r="R70" s="538"/>
      <c r="T70" s="416"/>
      <c r="U70" s="416"/>
      <c r="V70" s="533"/>
      <c r="Z70" s="525"/>
      <c r="AA70" s="533"/>
      <c r="AB70" s="533"/>
      <c r="AC70" s="533"/>
      <c r="AD70" s="525"/>
      <c r="AE70" s="538"/>
      <c r="AF70" s="538"/>
      <c r="AG70" s="538"/>
      <c r="AH70" s="539"/>
      <c r="AJ70" s="525"/>
      <c r="AK70" s="533"/>
      <c r="AL70" s="533"/>
      <c r="AN70" s="534"/>
      <c r="AO70" s="534"/>
      <c r="AP70" s="540"/>
      <c r="AQ70" s="541"/>
    </row>
    <row r="71" spans="1:43" ht="14.25" x14ac:dyDescent="0.2">
      <c r="A71" s="526"/>
      <c r="C71" s="526"/>
      <c r="D71" s="530"/>
      <c r="E71" s="526"/>
      <c r="F71" s="506"/>
      <c r="G71" s="506"/>
      <c r="H71" s="506"/>
      <c r="I71" s="538"/>
      <c r="J71" s="538"/>
      <c r="K71" s="538"/>
      <c r="L71" s="538"/>
      <c r="M71" s="538"/>
      <c r="N71" s="538"/>
      <c r="O71" s="538"/>
      <c r="P71" s="538"/>
      <c r="Q71" s="538"/>
      <c r="R71" s="538"/>
      <c r="T71" s="416"/>
      <c r="U71" s="416"/>
      <c r="V71" s="533"/>
      <c r="Z71" s="525"/>
      <c r="AA71" s="533"/>
      <c r="AB71" s="533"/>
      <c r="AC71" s="533"/>
      <c r="AD71" s="525"/>
      <c r="AE71" s="538"/>
      <c r="AF71" s="538"/>
      <c r="AG71" s="538"/>
      <c r="AH71" s="539"/>
      <c r="AJ71" s="525"/>
      <c r="AK71" s="533"/>
      <c r="AL71" s="533"/>
      <c r="AN71" s="534"/>
      <c r="AO71" s="534"/>
      <c r="AP71" s="540"/>
      <c r="AQ71" s="541"/>
    </row>
    <row r="72" spans="1:43" ht="14.25" x14ac:dyDescent="0.2">
      <c r="A72" s="526"/>
      <c r="D72" s="530"/>
      <c r="E72" s="526"/>
      <c r="F72" s="416"/>
      <c r="G72" s="416"/>
      <c r="H72" s="416"/>
      <c r="I72" s="538"/>
      <c r="J72" s="538"/>
      <c r="K72" s="538"/>
      <c r="L72" s="538"/>
      <c r="M72" s="538"/>
      <c r="N72" s="538"/>
    </row>
    <row r="77" spans="1:43" x14ac:dyDescent="0.2">
      <c r="C77" s="537"/>
      <c r="D77" s="537"/>
      <c r="E77" s="529"/>
      <c r="F77" s="542"/>
      <c r="G77" s="542"/>
      <c r="H77" s="542"/>
      <c r="I77" s="542"/>
      <c r="J77" s="542"/>
      <c r="K77" s="542"/>
      <c r="L77" s="542"/>
      <c r="M77" s="542"/>
      <c r="N77" s="543"/>
    </row>
    <row r="78" spans="1:43" x14ac:dyDescent="0.2">
      <c r="C78" s="642"/>
      <c r="D78" s="544"/>
      <c r="E78" s="529"/>
      <c r="F78" s="545"/>
      <c r="G78" s="545"/>
      <c r="H78" s="545"/>
      <c r="I78" s="545"/>
      <c r="J78" s="545"/>
      <c r="K78" s="545"/>
      <c r="L78" s="545"/>
      <c r="M78" s="545"/>
      <c r="N78" s="546"/>
    </row>
    <row r="79" spans="1:43" x14ac:dyDescent="0.2">
      <c r="C79" s="642"/>
      <c r="D79" s="544"/>
      <c r="E79" s="529"/>
      <c r="F79" s="545"/>
      <c r="G79" s="545"/>
      <c r="H79" s="545"/>
      <c r="I79" s="545"/>
      <c r="J79" s="545"/>
      <c r="K79" s="545"/>
      <c r="L79" s="545"/>
      <c r="M79" s="545"/>
      <c r="N79" s="546"/>
    </row>
    <row r="80" spans="1:43" x14ac:dyDescent="0.2">
      <c r="C80" s="642"/>
      <c r="D80" s="544"/>
      <c r="E80" s="529"/>
      <c r="F80" s="545"/>
      <c r="G80" s="545"/>
      <c r="H80" s="545"/>
      <c r="I80" s="545"/>
      <c r="J80" s="545"/>
      <c r="K80" s="545"/>
      <c r="L80" s="545"/>
      <c r="M80" s="545"/>
      <c r="N80" s="546"/>
    </row>
    <row r="81" spans="3:14" x14ac:dyDescent="0.2">
      <c r="C81" s="642"/>
      <c r="D81" s="544"/>
      <c r="E81" s="529"/>
      <c r="F81" s="545"/>
      <c r="G81" s="545"/>
      <c r="H81" s="545"/>
      <c r="I81" s="545"/>
      <c r="J81" s="545"/>
      <c r="K81" s="545"/>
      <c r="L81" s="545"/>
      <c r="M81" s="545"/>
      <c r="N81" s="546"/>
    </row>
    <row r="82" spans="3:14" x14ac:dyDescent="0.2">
      <c r="C82" s="643"/>
      <c r="D82" s="547"/>
      <c r="E82" s="548"/>
      <c r="F82" s="549"/>
      <c r="G82" s="549"/>
      <c r="H82" s="549"/>
      <c r="I82" s="549"/>
      <c r="J82" s="549"/>
      <c r="K82" s="549"/>
      <c r="L82" s="549"/>
      <c r="M82" s="549"/>
      <c r="N82" s="550"/>
    </row>
    <row r="83" spans="3:14" x14ac:dyDescent="0.2">
      <c r="C83" s="644"/>
      <c r="D83" s="551"/>
      <c r="E83" s="529"/>
      <c r="F83" s="545"/>
      <c r="G83" s="552"/>
      <c r="H83" s="552"/>
      <c r="I83" s="552"/>
      <c r="J83" s="552"/>
      <c r="K83" s="552"/>
      <c r="L83" s="552"/>
      <c r="M83" s="552"/>
      <c r="N83" s="553"/>
    </row>
    <row r="84" spans="3:14" x14ac:dyDescent="0.2">
      <c r="C84" s="642"/>
      <c r="D84" s="551"/>
      <c r="E84" s="529"/>
      <c r="F84" s="545"/>
      <c r="G84" s="552"/>
      <c r="H84" s="552"/>
      <c r="I84" s="552"/>
      <c r="J84" s="552"/>
      <c r="K84" s="552"/>
      <c r="L84" s="552"/>
      <c r="M84" s="552"/>
      <c r="N84" s="553"/>
    </row>
    <row r="85" spans="3:14" x14ac:dyDescent="0.2">
      <c r="C85" s="642"/>
      <c r="D85" s="551"/>
      <c r="E85" s="529"/>
      <c r="F85" s="545"/>
      <c r="G85" s="552"/>
      <c r="H85" s="552"/>
      <c r="I85" s="552"/>
      <c r="J85" s="552"/>
      <c r="K85" s="552"/>
      <c r="L85" s="552"/>
      <c r="M85" s="552"/>
      <c r="N85" s="553"/>
    </row>
    <row r="86" spans="3:14" x14ac:dyDescent="0.2">
      <c r="C86" s="642"/>
      <c r="D86" s="551"/>
      <c r="E86" s="529"/>
      <c r="F86" s="545"/>
      <c r="G86" s="552"/>
      <c r="H86" s="552"/>
      <c r="I86" s="552"/>
      <c r="J86" s="552"/>
      <c r="K86" s="552"/>
      <c r="L86" s="552"/>
      <c r="M86" s="552"/>
      <c r="N86" s="553"/>
    </row>
    <row r="87" spans="3:14" x14ac:dyDescent="0.2">
      <c r="C87" s="643"/>
      <c r="D87" s="554"/>
      <c r="E87" s="548"/>
      <c r="F87" s="549"/>
      <c r="G87" s="555"/>
      <c r="H87" s="555"/>
      <c r="I87" s="555"/>
      <c r="J87" s="555"/>
      <c r="K87" s="555"/>
      <c r="L87" s="555"/>
      <c r="M87" s="555"/>
      <c r="N87" s="556"/>
    </row>
    <row r="88" spans="3:14" x14ac:dyDescent="0.2">
      <c r="C88" s="644"/>
      <c r="D88" s="551"/>
      <c r="E88" s="545"/>
      <c r="F88" s="545"/>
      <c r="G88" s="545"/>
      <c r="H88" s="545"/>
      <c r="I88" s="545"/>
      <c r="J88" s="552"/>
      <c r="K88" s="552"/>
      <c r="L88" s="552"/>
      <c r="M88" s="552"/>
      <c r="N88" s="553"/>
    </row>
    <row r="89" spans="3:14" x14ac:dyDescent="0.2">
      <c r="C89" s="642"/>
      <c r="D89" s="551"/>
      <c r="E89" s="545"/>
      <c r="F89" s="545"/>
      <c r="G89" s="545"/>
      <c r="H89" s="545"/>
      <c r="I89" s="545"/>
      <c r="J89" s="552"/>
      <c r="K89" s="552"/>
      <c r="L89" s="552"/>
      <c r="M89" s="552"/>
      <c r="N89" s="553"/>
    </row>
    <row r="90" spans="3:14" x14ac:dyDescent="0.2">
      <c r="C90" s="642"/>
      <c r="D90" s="551"/>
      <c r="E90" s="545"/>
      <c r="F90" s="545"/>
      <c r="G90" s="545"/>
      <c r="H90" s="545"/>
      <c r="I90" s="545"/>
      <c r="J90" s="552"/>
      <c r="K90" s="552"/>
      <c r="L90" s="552"/>
      <c r="M90" s="552"/>
      <c r="N90" s="553"/>
    </row>
    <row r="91" spans="3:14" x14ac:dyDescent="0.2">
      <c r="C91" s="642"/>
      <c r="D91" s="551"/>
      <c r="E91" s="545"/>
      <c r="F91" s="545"/>
      <c r="G91" s="545"/>
      <c r="H91" s="545"/>
      <c r="I91" s="545"/>
      <c r="J91" s="552"/>
      <c r="K91" s="552"/>
      <c r="L91" s="552"/>
      <c r="M91" s="552"/>
      <c r="N91" s="553"/>
    </row>
    <row r="92" spans="3:14" x14ac:dyDescent="0.2">
      <c r="C92" s="643"/>
      <c r="D92" s="554"/>
      <c r="E92" s="549"/>
      <c r="F92" s="549"/>
      <c r="G92" s="549"/>
      <c r="H92" s="549"/>
      <c r="I92" s="549"/>
      <c r="J92" s="555"/>
      <c r="K92" s="555"/>
      <c r="L92" s="555"/>
      <c r="M92" s="555"/>
      <c r="N92" s="556"/>
    </row>
    <row r="93" spans="3:14" ht="23.25" customHeight="1" x14ac:dyDescent="0.2">
      <c r="C93" s="644"/>
      <c r="D93" s="551"/>
      <c r="E93" s="545"/>
      <c r="F93" s="545"/>
      <c r="G93" s="545"/>
      <c r="H93" s="545"/>
      <c r="I93" s="545"/>
      <c r="J93" s="529"/>
      <c r="K93" s="552"/>
      <c r="L93" s="552"/>
      <c r="M93" s="552"/>
      <c r="N93" s="553"/>
    </row>
    <row r="94" spans="3:14" x14ac:dyDescent="0.2">
      <c r="C94" s="642"/>
      <c r="D94" s="551"/>
      <c r="E94" s="545"/>
      <c r="F94" s="545"/>
      <c r="G94" s="545"/>
      <c r="H94" s="545"/>
      <c r="I94" s="545"/>
      <c r="J94" s="529"/>
      <c r="K94" s="552"/>
      <c r="L94" s="552"/>
      <c r="M94" s="552"/>
      <c r="N94" s="553"/>
    </row>
    <row r="95" spans="3:14" x14ac:dyDescent="0.2">
      <c r="C95" s="642"/>
      <c r="D95" s="551"/>
      <c r="E95" s="545"/>
      <c r="F95" s="545"/>
      <c r="G95" s="545"/>
      <c r="H95" s="545"/>
      <c r="I95" s="545"/>
      <c r="J95" s="529"/>
      <c r="K95" s="552"/>
      <c r="L95" s="552"/>
      <c r="M95" s="552"/>
      <c r="N95" s="553"/>
    </row>
    <row r="96" spans="3:14" x14ac:dyDescent="0.2">
      <c r="C96" s="642"/>
      <c r="D96" s="551"/>
      <c r="E96" s="545"/>
      <c r="F96" s="545"/>
      <c r="G96" s="545"/>
      <c r="H96" s="545"/>
      <c r="I96" s="545"/>
      <c r="J96" s="529"/>
      <c r="K96" s="552"/>
      <c r="L96" s="552"/>
      <c r="M96" s="552"/>
      <c r="N96" s="553"/>
    </row>
    <row r="97" spans="3:14" x14ac:dyDescent="0.2">
      <c r="C97" s="642"/>
      <c r="D97" s="554"/>
      <c r="E97" s="549"/>
      <c r="F97" s="549"/>
      <c r="G97" s="549"/>
      <c r="H97" s="549"/>
      <c r="I97" s="549"/>
      <c r="J97" s="548"/>
      <c r="K97" s="555"/>
      <c r="L97" s="555"/>
      <c r="M97" s="555"/>
      <c r="N97" s="556"/>
    </row>
  </sheetData>
  <mergeCells count="10">
    <mergeCell ref="N10:P10"/>
    <mergeCell ref="Q10:S10"/>
    <mergeCell ref="T10:V10"/>
    <mergeCell ref="I34:J34"/>
    <mergeCell ref="K34:N34"/>
    <mergeCell ref="C78:C82"/>
    <mergeCell ref="C83:C87"/>
    <mergeCell ref="C88:C92"/>
    <mergeCell ref="C93:C97"/>
    <mergeCell ref="K10:M10"/>
  </mergeCells>
  <conditionalFormatting sqref="Z15:AB30">
    <cfRule type="dataBar" priority="3">
      <dataBar>
        <cfvo type="min"/>
        <cfvo type="max"/>
        <color rgb="FF63C384"/>
      </dataBar>
      <extLst>
        <ext xmlns:x14="http://schemas.microsoft.com/office/spreadsheetml/2009/9/main" uri="{B025F937-C7B1-47D3-B67F-A62EFF666E3E}">
          <x14:id>{87B90B96-EB7B-4516-BD37-CEE36B0F1994}</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{01F07CBC-ACB2-4FD9-85A9-EFF2F72B88F2}</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{4DF25D23-F1A1-464A-9A60-0226221DEA17}</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{1C632B0A-F2E0-44ED-8FA0-2FFACFFE11E8}</x14:id>
        </ext>
      </extLst>
    </cfRule>
  </conditionalFormatting>
  <dataValidations xWindow="1423" yWindow="915" count="6">
    <dataValidation allowBlank="1" showInputMessage="1" showErrorMessage="1" prompt="source (page 7, figure 1): https://portfoliomanager.energystar.gov/pdf/reference/Emissions.pdf" sqref="Z3" xr:uid="{2B875FA1-5B1A-4BBC-BF43-2CE5C0A341BC}"/>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0BF5BAD3-B87D-481B-87E7-9B4955885F2B}">
      <formula1>0</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00391559-C15B-4AFC-96CD-52FC61480CED}">
      <formula1>-1</formula1>
      <formula2>1</formula2>
    </dataValidation>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91BBAA6A-0FE8-4654-9AEF-EC170EC7D4C6}">
      <formula1>-1</formula1>
      <formula2>1</formula2>
    </dataValidation>
    <dataValidation allowBlank="1" showErrorMessage="1" prompt="If energy data is available for these typologies, enter it here. For any typologies where energy data is not available, CBECS data will be used for baseline information. " sqref="F12:F30" xr:uid="{C0846E11-AC53-467B-991C-34923B82118D}"/>
    <dataValidation allowBlank="1" showErrorMessage="1" sqref="C12:D30" xr:uid="{D34A938B-E882-42EF-B3BB-77D3B8A83F3F}"/>
  </dataValidations>
  <pageMargins left="0.25" right="0.25" top="0.75" bottom="0.75" header="0.3" footer="0.3"/>
  <pageSetup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87B90B96-EB7B-4516-BD37-CEE36B0F1994}">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01F07CBC-ACB2-4FD9-85A9-EFF2F72B88F2}">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4DF25D23-F1A1-464A-9A60-0226221DEA17}">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1C632B0A-F2E0-44ED-8FA0-2FFACFFE11E8}">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xWindow="1423" yWindow="915" count="3">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33BFDFE3-8920-45DF-B268-427CEC517390}">
          <x14:formula1>
            <xm:f>'GHG Coefficient Lookup'!$AD$3:$AD$6</xm:f>
          </x14:formula1>
          <xm:sqref>C4</xm:sqref>
        </x14:dataValidation>
        <x14:dataValidation type="list" allowBlank="1" showInputMessage="1" showErrorMessage="1" xr:uid="{17FAEE20-EFE0-4AF1-838B-B33D18826E49}">
          <x14:formula1>
            <xm:f>'Typology Baseline - climate adj'!$A$4:$A$8</xm:f>
          </x14:formula1>
          <xm:sqref>C3</xm:sqref>
        </x14:dataValidation>
        <x14:dataValidation type="list" allowBlank="1" showErrorMessage="1" xr:uid="{756F65D7-15E7-462B-9778-12E571E9749D}">
          <x14:formula1>
            <xm:f>'Typology Baseline - climate adj'!$A$56:$A$57</xm:f>
          </x14:formula1>
          <xm:sqref>G12:H30</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D54F01C6-0A5E-4886-81F8-B8F5D2055797}">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'City Template'!AK12:AN12</xm:f>
              <xm:sqref>W12</xm:sqref>
            </x14:sparkline>
            <x14:sparkline>
              <xm:f>'City Template'!AK13:AN13</xm:f>
              <xm:sqref>W13</xm:sqref>
            </x14:sparkline>
            <x14:sparkline>
              <xm:f>'City Template'!AK14:AN14</xm:f>
              <xm:sqref>W14</xm:sqref>
            </x14:sparkline>
            <x14:sparkline>
              <xm:f>'City Template'!AK15:AN15</xm:f>
              <xm:sqref>W15</xm:sqref>
            </x14:sparkline>
            <x14:sparkline>
              <xm:f>'City Template'!AK16:AN16</xm:f>
              <xm:sqref>W16</xm:sqref>
            </x14:sparkline>
            <x14:sparkline>
              <xm:f>'City Template'!AK17:AN17</xm:f>
              <xm:sqref>W17</xm:sqref>
            </x14:sparkline>
            <x14:sparkline>
              <xm:f>'City Template'!AK18:AN18</xm:f>
              <xm:sqref>W18</xm:sqref>
            </x14:sparkline>
            <x14:sparkline>
              <xm:f>'City Template'!AK19:AN19</xm:f>
              <xm:sqref>W19</xm:sqref>
            </x14:sparkline>
            <x14:sparkline>
              <xm:f>'City Template'!AK20:AN20</xm:f>
              <xm:sqref>W20</xm:sqref>
            </x14:sparkline>
            <x14:sparkline>
              <xm:f>'City Template'!AK21:AN21</xm:f>
              <xm:sqref>W21</xm:sqref>
            </x14:sparkline>
            <x14:sparkline>
              <xm:f>'City Template'!AK22:AN22</xm:f>
              <xm:sqref>W22</xm:sqref>
            </x14:sparkline>
            <x14:sparkline>
              <xm:f>'City Template'!AK23:AN23</xm:f>
              <xm:sqref>W23</xm:sqref>
            </x14:sparkline>
            <x14:sparkline>
              <xm:f>'City Template'!AK24:AN24</xm:f>
              <xm:sqref>W24</xm:sqref>
            </x14:sparkline>
            <x14:sparkline>
              <xm:f>'City Template'!AK25:AN25</xm:f>
              <xm:sqref>W25</xm:sqref>
            </x14:sparkline>
            <x14:sparkline>
              <xm:f>'City Template'!AK26:AN26</xm:f>
              <xm:sqref>W26</xm:sqref>
            </x14:sparkline>
            <x14:sparkline>
              <xm:f>'City Template'!AK27:AN27</xm:f>
              <xm:sqref>W27</xm:sqref>
            </x14:sparkline>
            <x14:sparkline>
              <xm:f>'City Template'!AK28:AN28</xm:f>
              <xm:sqref>W28</xm:sqref>
            </x14:sparkline>
            <x14:sparkline>
              <xm:f>'City Template'!AK29:AN29</xm:f>
              <xm:sqref>W29</xm:sqref>
            </x14:sparkline>
            <x14:sparkline>
              <xm:f>'City Template'!AK30:AN30</xm:f>
              <xm:sqref>W30</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0CC72-8284-41E9-B5B3-BA395645D4F3}">
  <sheetPr>
    <tabColor theme="4" tint="0.79998168889431442"/>
  </sheetPr>
  <dimension ref="A1:AQ72"/>
  <sheetViews>
    <sheetView topLeftCell="R1" zoomScale="85" zoomScaleNormal="85" workbookViewId="0">
      <selection activeCell="Y12" sqref="Y12:AG30"/>
    </sheetView>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0" width="12.28515625" style="495" customWidth="1"/>
    <col min="11" max="22" width="11.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418</v>
      </c>
      <c r="G2" s="128" t="s">
        <v>1550</v>
      </c>
      <c r="H2" s="128"/>
      <c r="J2" s="525"/>
      <c r="K2" s="525"/>
      <c r="Y2" s="371" t="s">
        <v>448</v>
      </c>
      <c r="Z2" s="610" t="s">
        <v>449</v>
      </c>
    </row>
    <row r="3" spans="2:40" ht="18" x14ac:dyDescent="0.25">
      <c r="B3" s="353" t="s">
        <v>450</v>
      </c>
      <c r="C3" s="352" t="s">
        <v>131</v>
      </c>
      <c r="D3" s="577" t="s">
        <v>451</v>
      </c>
      <c r="F3" s="615" t="s">
        <v>221</v>
      </c>
      <c r="G3" s="501">
        <v>0.2</v>
      </c>
      <c r="H3" s="263"/>
      <c r="Y3" s="610" t="s">
        <v>452</v>
      </c>
      <c r="Z3" s="495">
        <f>53.11/1000</f>
        <v>5.3109999999999997E-2</v>
      </c>
      <c r="AA3" s="138"/>
    </row>
    <row r="4" spans="2:40" ht="51" x14ac:dyDescent="0.25">
      <c r="B4" s="497" t="s">
        <v>453</v>
      </c>
      <c r="C4" s="396" t="str">
        <f>INDEX('Typology Baseline - climate adj'!$D4:$D$8,MATCH($C$3,'Typology Baseline - climate adj'!$A$4:$A$8,0))</f>
        <v>Seattle</v>
      </c>
      <c r="F4" s="616" t="s">
        <v>510</v>
      </c>
      <c r="G4" s="501">
        <v>0.3</v>
      </c>
      <c r="H4" s="263"/>
      <c r="Y4" s="498" t="s">
        <v>454</v>
      </c>
      <c r="Z4" s="499">
        <f>INDEX(Readme!$K$30:$K$33,MATCH(C4,Readme!$D$30:$D$33,0))</f>
        <v>2.6955815986857323E-3</v>
      </c>
      <c r="AA4" s="500" t="s">
        <v>455</v>
      </c>
    </row>
    <row r="5" spans="2:40" ht="25.5" x14ac:dyDescent="0.25">
      <c r="B5" s="622"/>
      <c r="F5" s="616" t="s">
        <v>511</v>
      </c>
      <c r="G5" s="501">
        <v>0</v>
      </c>
      <c r="H5" s="263"/>
      <c r="Y5" s="498" t="s">
        <v>456</v>
      </c>
      <c r="Z5" s="499">
        <f>IF(Z4/2&lt;Z6,Z6,Z4/2)</f>
        <v>2.6955815986857323E-3</v>
      </c>
      <c r="AA5" s="224" t="str">
        <f>TEXT((Z4-Z5)/Z4,"##%")&amp;" lower than today"</f>
        <v>% lower than today</v>
      </c>
    </row>
    <row r="6" spans="2:40" ht="38.25" x14ac:dyDescent="0.25">
      <c r="B6" s="622"/>
      <c r="F6" s="616" t="s">
        <v>512</v>
      </c>
      <c r="G6" s="501">
        <v>0</v>
      </c>
      <c r="H6" s="263"/>
      <c r="Y6" s="498" t="s">
        <v>457</v>
      </c>
      <c r="Z6" s="499">
        <f>Readme!L32</f>
        <v>2.6955815986857323E-3</v>
      </c>
      <c r="AA6" s="557" t="s">
        <v>1501</v>
      </c>
    </row>
    <row r="7" spans="2:40" ht="15" x14ac:dyDescent="0.25">
      <c r="B7" s="623" t="s">
        <v>1551</v>
      </c>
      <c r="C7" s="501">
        <v>0</v>
      </c>
      <c r="F7" s="616" t="s">
        <v>173</v>
      </c>
      <c r="G7" s="501">
        <v>0</v>
      </c>
      <c r="H7" s="263"/>
    </row>
    <row r="8" spans="2:40" ht="14.25" x14ac:dyDescent="0.2">
      <c r="B8" s="138"/>
      <c r="C8" s="138"/>
      <c r="D8" s="138"/>
    </row>
    <row r="9" spans="2:40" ht="18" x14ac:dyDescent="0.25">
      <c r="B9" s="576" t="s">
        <v>458</v>
      </c>
      <c r="C9" s="502" t="s">
        <v>459</v>
      </c>
      <c r="D9" s="502" t="s">
        <v>459</v>
      </c>
      <c r="E9" s="502" t="s">
        <v>460</v>
      </c>
      <c r="F9" s="626" t="s">
        <v>461</v>
      </c>
      <c r="G9" s="502"/>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Seattle</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Seattle: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510" t="s">
        <v>478</v>
      </c>
      <c r="AC11" s="511" t="s">
        <v>479</v>
      </c>
      <c r="AD11" s="512" t="s">
        <v>480</v>
      </c>
      <c r="AE11" s="510" t="s">
        <v>481</v>
      </c>
      <c r="AF11" s="513" t="s">
        <v>482</v>
      </c>
      <c r="AG11" s="558" t="s">
        <v>1502</v>
      </c>
      <c r="AI11" s="506"/>
      <c r="AJ11" s="506"/>
      <c r="AK11" s="506"/>
      <c r="AL11" s="506"/>
      <c r="AM11" s="506"/>
      <c r="AN11" s="506"/>
    </row>
    <row r="12" spans="2:40" ht="15" x14ac:dyDescent="0.25">
      <c r="B12" s="367" t="s">
        <v>442</v>
      </c>
      <c r="C12" s="587">
        <v>6.5499584443173688</v>
      </c>
      <c r="D12" s="587">
        <v>23.222579938943397</v>
      </c>
      <c r="E12" s="588">
        <v>305</v>
      </c>
      <c r="F12" s="588">
        <v>25788474</v>
      </c>
      <c r="G12" s="587" t="b">
        <v>0</v>
      </c>
      <c r="H12" s="587" t="b">
        <v>1</v>
      </c>
      <c r="J12" s="138" t="str">
        <f>B36</f>
        <v>MF-New-Tall</v>
      </c>
      <c r="K12" s="514">
        <f>H36</f>
        <v>6.5499584443173688</v>
      </c>
      <c r="L12" s="515">
        <f>G36</f>
        <v>23.222579938943397</v>
      </c>
      <c r="M12" s="268">
        <f>F36</f>
        <v>29.772538383260766</v>
      </c>
      <c r="N12" s="514">
        <f t="shared" ref="N12:O14" si="0">V36</f>
        <v>6.5499584443173688</v>
      </c>
      <c r="O12" s="515">
        <f t="shared" si="0"/>
        <v>18.578063951154718</v>
      </c>
      <c r="P12" s="268">
        <f t="shared" ref="P12:P14" si="1">X36</f>
        <v>25.128022395472087</v>
      </c>
      <c r="Q12" s="514">
        <v>0</v>
      </c>
      <c r="R12" s="515">
        <f t="shared" ref="R12:R30" si="2">Z36+AA36</f>
        <v>21.412750054990713</v>
      </c>
      <c r="S12" s="268">
        <f t="shared" ref="S12:S30" si="3">AB36</f>
        <v>21.412750054990713</v>
      </c>
      <c r="T12" s="514">
        <v>0</v>
      </c>
      <c r="U12" s="515">
        <f t="shared" ref="U12:U30" si="4">AJ36+AK36</f>
        <v>21.095080657494137</v>
      </c>
      <c r="V12" s="268">
        <f>U12+T12</f>
        <v>21.095080657494137</v>
      </c>
      <c r="W12" s="263"/>
      <c r="Y12" s="516" t="str">
        <f t="shared" ref="Y12:Y30" si="5">J12</f>
        <v>MF-New-Tall</v>
      </c>
      <c r="Z12" s="517">
        <f t="shared" ref="Z12:Z30" si="6">K12*$Z$3+L12*$Z$4</f>
        <v>0.41046665213511968</v>
      </c>
      <c r="AA12" s="518">
        <f t="shared" ref="AA12:AA30" si="7">N12*$Z$3+O12*$Z$5</f>
        <v>0.39794698030363485</v>
      </c>
      <c r="AB12" s="519">
        <f t="shared" ref="AB12:AB30" si="8">Q12*$Z$3+R12*$Z$6</f>
        <v>5.7719815025489868E-2</v>
      </c>
      <c r="AC12" s="520">
        <f t="shared" ref="AC12:AD27" si="9">AN36</f>
        <v>1.1870218827689281</v>
      </c>
      <c r="AD12" s="521">
        <f t="shared" si="9"/>
        <v>1.8888517633907522</v>
      </c>
      <c r="AE12" s="522">
        <f t="shared" ref="AE12:AE14" si="10">AD12/AC12-1</f>
        <v>0.59125268944889875</v>
      </c>
      <c r="AF12" s="523">
        <f t="shared" ref="AF12:AF14" si="11">(AD12-AC12)/(Z12-AB12)</f>
        <v>1.9896135323920796</v>
      </c>
      <c r="AG12" s="523">
        <f t="shared" ref="AG12:AG30" si="12">(AD12-AC12)/(N12)</f>
        <v>0.10715027989692358</v>
      </c>
      <c r="AI12" s="506"/>
      <c r="AJ12" s="524"/>
      <c r="AK12" s="524">
        <f>M12</f>
        <v>29.772538383260766</v>
      </c>
      <c r="AL12" s="524">
        <f>P12</f>
        <v>25.128022395472087</v>
      </c>
      <c r="AM12" s="524">
        <f>S12</f>
        <v>21.412750054990713</v>
      </c>
      <c r="AN12" s="524">
        <f>V12</f>
        <v>21.095080657494137</v>
      </c>
    </row>
    <row r="13" spans="2:40" ht="15" x14ac:dyDescent="0.25">
      <c r="B13" s="367" t="s">
        <v>440</v>
      </c>
      <c r="C13" s="587">
        <v>2.3296210307295908</v>
      </c>
      <c r="D13" s="587">
        <v>30.950679408264584</v>
      </c>
      <c r="E13" s="588">
        <v>106</v>
      </c>
      <c r="F13" s="588">
        <v>13179312</v>
      </c>
      <c r="G13" s="587" t="b">
        <v>0</v>
      </c>
      <c r="H13" s="587" t="b">
        <v>0</v>
      </c>
      <c r="J13" s="138" t="str">
        <f>B37</f>
        <v>MF-Old-Tall</v>
      </c>
      <c r="K13" s="514">
        <f>H37</f>
        <v>2.3296210307295908</v>
      </c>
      <c r="L13" s="515">
        <f>G37</f>
        <v>30.950679408264584</v>
      </c>
      <c r="M13" s="268">
        <f>F37</f>
        <v>33.280300438994175</v>
      </c>
      <c r="N13" s="514">
        <f t="shared" si="0"/>
        <v>2.3296210307295908</v>
      </c>
      <c r="O13" s="515">
        <f t="shared" si="0"/>
        <v>24.76054352661167</v>
      </c>
      <c r="P13" s="268">
        <f t="shared" si="1"/>
        <v>27.090164557341261</v>
      </c>
      <c r="Q13" s="514">
        <v>0</v>
      </c>
      <c r="R13" s="515">
        <f t="shared" si="2"/>
        <v>26.179752790897602</v>
      </c>
      <c r="S13" s="268">
        <f t="shared" si="3"/>
        <v>26.179752790897602</v>
      </c>
      <c r="T13" s="514">
        <v>0</v>
      </c>
      <c r="U13" s="515">
        <f t="shared" si="4"/>
        <v>25.793041937068324</v>
      </c>
      <c r="V13" s="268">
        <f t="shared" ref="V13:V30" si="13">U13+T13</f>
        <v>25.793041937068324</v>
      </c>
      <c r="W13" s="263"/>
      <c r="Y13" s="516" t="str">
        <f t="shared" si="5"/>
        <v>MF-Old-Tall</v>
      </c>
      <c r="Z13" s="517">
        <f t="shared" si="6"/>
        <v>0.20715625482178798</v>
      </c>
      <c r="AA13" s="518">
        <f t="shared" si="7"/>
        <v>0.1904702384458401</v>
      </c>
      <c r="AB13" s="519">
        <f t="shared" si="8"/>
        <v>7.0569659881285024E-2</v>
      </c>
      <c r="AC13" s="520">
        <f t="shared" si="9"/>
        <v>1.7659484379908548</v>
      </c>
      <c r="AD13" s="521">
        <f t="shared" si="9"/>
        <v>1.6837224433799232</v>
      </c>
      <c r="AE13" s="522">
        <f t="shared" si="10"/>
        <v>-4.6561945321847209E-2</v>
      </c>
      <c r="AF13" s="523">
        <f t="shared" si="11"/>
        <v>-0.60200632900138706</v>
      </c>
      <c r="AG13" s="523">
        <f t="shared" si="12"/>
        <v>-3.5295867236045712E-2</v>
      </c>
      <c r="AI13" s="506"/>
      <c r="AJ13" s="524"/>
      <c r="AK13" s="524">
        <f t="shared" ref="AK13:AK30" si="14">M13</f>
        <v>33.280300438994175</v>
      </c>
      <c r="AL13" s="524">
        <f t="shared" ref="AL13:AL30" si="15">P13</f>
        <v>27.090164557341261</v>
      </c>
      <c r="AM13" s="524">
        <f t="shared" ref="AM13:AM30" si="16">S13</f>
        <v>26.179752790897602</v>
      </c>
      <c r="AN13" s="524">
        <f t="shared" ref="AN13:AN30" si="17">V13</f>
        <v>25.793041937068324</v>
      </c>
    </row>
    <row r="14" spans="2:40" ht="15" x14ac:dyDescent="0.25">
      <c r="B14" s="367" t="s">
        <v>444</v>
      </c>
      <c r="C14" s="587">
        <v>0.96146233044410678</v>
      </c>
      <c r="D14" s="587">
        <v>31.087282017692793</v>
      </c>
      <c r="E14" s="588">
        <v>104</v>
      </c>
      <c r="F14" s="588">
        <v>10261521</v>
      </c>
      <c r="G14" s="587" t="b">
        <v>0</v>
      </c>
      <c r="H14" s="587" t="b">
        <v>0</v>
      </c>
      <c r="J14" s="138" t="str">
        <f>B38</f>
        <v>MF-Short</v>
      </c>
      <c r="K14" s="514">
        <f>H38</f>
        <v>0.96146233044410678</v>
      </c>
      <c r="L14" s="515">
        <f>G38</f>
        <v>31.087282017692793</v>
      </c>
      <c r="M14" s="268">
        <f>F38</f>
        <v>32.0487443481369</v>
      </c>
      <c r="N14" s="514">
        <f t="shared" si="0"/>
        <v>0.96146233044410678</v>
      </c>
      <c r="O14" s="515">
        <f t="shared" si="0"/>
        <v>24.869825614154237</v>
      </c>
      <c r="P14" s="268">
        <f t="shared" si="1"/>
        <v>25.831287944598344</v>
      </c>
      <c r="Q14" s="514">
        <v>0</v>
      </c>
      <c r="R14" s="515">
        <f t="shared" si="2"/>
        <v>25.455550171337205</v>
      </c>
      <c r="S14" s="268">
        <f t="shared" si="3"/>
        <v>25.455550171337205</v>
      </c>
      <c r="T14" s="514">
        <v>0</v>
      </c>
      <c r="U14" s="515">
        <f t="shared" si="4"/>
        <v>25.098429394179554</v>
      </c>
      <c r="V14" s="268">
        <f t="shared" si="13"/>
        <v>25.098429394179554</v>
      </c>
      <c r="W14" s="263"/>
      <c r="Y14" s="516" t="str">
        <f t="shared" si="5"/>
        <v>MF-Short</v>
      </c>
      <c r="Z14" s="517">
        <f t="shared" si="6"/>
        <v>0.13486156972993307</v>
      </c>
      <c r="AA14" s="518">
        <f t="shared" si="7"/>
        <v>0.11810190865792376</v>
      </c>
      <c r="AB14" s="519">
        <f t="shared" si="8"/>
        <v>6.8617512626278007E-2</v>
      </c>
      <c r="AC14" s="520">
        <f t="shared" si="9"/>
        <v>0.72882794164296805</v>
      </c>
      <c r="AD14" s="521">
        <f t="shared" si="9"/>
        <v>0.6948922948751538</v>
      </c>
      <c r="AE14" s="522">
        <f t="shared" si="10"/>
        <v>-4.6561945321847098E-2</v>
      </c>
      <c r="AF14" s="523">
        <f t="shared" si="11"/>
        <v>-0.51228213143276546</v>
      </c>
      <c r="AG14" s="523">
        <f t="shared" si="12"/>
        <v>-3.529586723604565E-2</v>
      </c>
      <c r="AI14" s="506"/>
      <c r="AJ14" s="524"/>
      <c r="AK14" s="524">
        <f t="shared" si="14"/>
        <v>32.0487443481369</v>
      </c>
      <c r="AL14" s="524">
        <f t="shared" si="15"/>
        <v>25.831287944598344</v>
      </c>
      <c r="AM14" s="524">
        <f t="shared" si="16"/>
        <v>25.455550171337205</v>
      </c>
      <c r="AN14" s="524">
        <f t="shared" si="17"/>
        <v>25.098429394179554</v>
      </c>
    </row>
    <row r="15" spans="2:40" ht="15" x14ac:dyDescent="0.25">
      <c r="B15" s="367" t="s">
        <v>111</v>
      </c>
      <c r="C15" s="587">
        <v>22.16797286061896</v>
      </c>
      <c r="D15" s="587">
        <v>22.16797286061896</v>
      </c>
      <c r="E15" s="588">
        <v>157</v>
      </c>
      <c r="F15" s="588">
        <v>24003916</v>
      </c>
      <c r="G15" s="587" t="b">
        <v>1</v>
      </c>
      <c r="H15" s="587" t="b">
        <v>1</v>
      </c>
      <c r="J15" s="138" t="str">
        <f t="shared" ref="J15:J30" si="18">B39</f>
        <v>Education</v>
      </c>
      <c r="K15" s="514">
        <f t="shared" ref="K15:K30" si="19">H39</f>
        <v>22.16797286061896</v>
      </c>
      <c r="L15" s="515">
        <f t="shared" ref="L15:L30" si="20">G39</f>
        <v>22.16797286061896</v>
      </c>
      <c r="M15" s="268">
        <f t="shared" ref="M15:M30" si="21">F39</f>
        <v>44.33594572123792</v>
      </c>
      <c r="N15" s="514">
        <f t="shared" ref="N15:P30" si="22">V39</f>
        <v>18.074426107690684</v>
      </c>
      <c r="O15" s="515">
        <f t="shared" si="22"/>
        <v>17.734378288495169</v>
      </c>
      <c r="P15" s="268">
        <f t="shared" si="22"/>
        <v>35.808804396185849</v>
      </c>
      <c r="Q15" s="514">
        <v>0</v>
      </c>
      <c r="R15" s="515">
        <f t="shared" si="2"/>
        <v>26.069700074619249</v>
      </c>
      <c r="S15" s="268">
        <f t="shared" si="3"/>
        <v>26.069700074619249</v>
      </c>
      <c r="T15" s="514">
        <v>0</v>
      </c>
      <c r="U15" s="515">
        <f t="shared" si="4"/>
        <v>25.861001871168199</v>
      </c>
      <c r="V15" s="268">
        <f t="shared" si="13"/>
        <v>25.861001871168199</v>
      </c>
      <c r="W15" s="263"/>
      <c r="Y15" s="516" t="str">
        <f t="shared" si="5"/>
        <v>Education</v>
      </c>
      <c r="Z15" s="517">
        <f t="shared" si="6"/>
        <v>1.2370966183507222</v>
      </c>
      <c r="AA15" s="518">
        <f t="shared" si="7"/>
        <v>1.0077372343580515</v>
      </c>
      <c r="AB15" s="519">
        <f t="shared" si="8"/>
        <v>7.0273003804399714E-2</v>
      </c>
      <c r="AC15" s="520">
        <f t="shared" si="9"/>
        <v>4.7121233746027826</v>
      </c>
      <c r="AD15" s="521">
        <f t="shared" si="9"/>
        <v>17.744436005028579</v>
      </c>
      <c r="AE15" s="522">
        <f>AD15/AC15-1</f>
        <v>2.7656985172898576</v>
      </c>
      <c r="AF15" s="523">
        <f>(AD15-AC15)/(Z15-AB15)</f>
        <v>11.169051147026146</v>
      </c>
      <c r="AG15" s="523">
        <f t="shared" si="12"/>
        <v>0.72103604024697276</v>
      </c>
      <c r="AI15" s="506"/>
      <c r="AJ15" s="524"/>
      <c r="AK15" s="524">
        <f t="shared" si="14"/>
        <v>44.33594572123792</v>
      </c>
      <c r="AL15" s="524">
        <f t="shared" si="15"/>
        <v>35.808804396185849</v>
      </c>
      <c r="AM15" s="524">
        <f t="shared" si="16"/>
        <v>26.069700074619249</v>
      </c>
      <c r="AN15" s="524">
        <f t="shared" si="17"/>
        <v>25.861001871168199</v>
      </c>
    </row>
    <row r="16" spans="2:40" ht="15" x14ac:dyDescent="0.25">
      <c r="B16" s="367" t="s">
        <v>393</v>
      </c>
      <c r="C16" s="587">
        <v>86.729267207637889</v>
      </c>
      <c r="D16" s="587">
        <v>130.09390081145679</v>
      </c>
      <c r="E16" s="588">
        <v>27</v>
      </c>
      <c r="F16" s="588">
        <v>1907475</v>
      </c>
      <c r="G16" s="587" t="b">
        <v>1</v>
      </c>
      <c r="H16" s="587" t="b">
        <v>1</v>
      </c>
      <c r="J16" s="138" t="str">
        <f t="shared" si="18"/>
        <v>Food sales</v>
      </c>
      <c r="K16" s="514">
        <f t="shared" si="19"/>
        <v>86.729267207637889</v>
      </c>
      <c r="L16" s="515">
        <f t="shared" si="20"/>
        <v>130.09390081145679</v>
      </c>
      <c r="M16" s="268">
        <f t="shared" si="21"/>
        <v>216.82316801909468</v>
      </c>
      <c r="N16" s="514">
        <f t="shared" si="22"/>
        <v>73.687053410831396</v>
      </c>
      <c r="O16" s="515">
        <f t="shared" si="22"/>
        <v>104.07512064916544</v>
      </c>
      <c r="P16" s="268">
        <f t="shared" si="22"/>
        <v>177.76217405999682</v>
      </c>
      <c r="Q16" s="514">
        <v>0</v>
      </c>
      <c r="R16" s="515">
        <f t="shared" si="2"/>
        <v>139.14065544516166</v>
      </c>
      <c r="S16" s="268">
        <f t="shared" si="3"/>
        <v>139.14065544516166</v>
      </c>
      <c r="T16" s="514">
        <v>0</v>
      </c>
      <c r="U16" s="515">
        <f t="shared" si="4"/>
        <v>132.39229861496295</v>
      </c>
      <c r="V16" s="268">
        <f t="shared" si="13"/>
        <v>132.39229861496295</v>
      </c>
      <c r="W16" s="263"/>
      <c r="Y16" s="516" t="str">
        <f t="shared" si="5"/>
        <v>Food sales</v>
      </c>
      <c r="Z16" s="517">
        <f t="shared" si="6"/>
        <v>4.9568701065262584</v>
      </c>
      <c r="AA16" s="518">
        <f t="shared" si="7"/>
        <v>4.1940623867521429</v>
      </c>
      <c r="AB16" s="519">
        <f t="shared" si="8"/>
        <v>0.3750649904470495</v>
      </c>
      <c r="AC16" s="520">
        <f t="shared" si="9"/>
        <v>33.75535908746329</v>
      </c>
      <c r="AD16" s="521">
        <f t="shared" si="9"/>
        <v>73.480483303449134</v>
      </c>
      <c r="AE16" s="522">
        <f>AD16/AC16-1</f>
        <v>1.1768538475047574</v>
      </c>
      <c r="AF16" s="523">
        <f>(AD16-AC16)/(Z16-AB16)</f>
        <v>8.6701907238647138</v>
      </c>
      <c r="AG16" s="523">
        <f t="shared" si="12"/>
        <v>0.53910588600285347</v>
      </c>
      <c r="AI16" s="506"/>
      <c r="AJ16" s="524"/>
      <c r="AK16" s="524">
        <f t="shared" si="14"/>
        <v>216.82316801909468</v>
      </c>
      <c r="AL16" s="524">
        <f t="shared" si="15"/>
        <v>177.76217405999682</v>
      </c>
      <c r="AM16" s="524">
        <f t="shared" si="16"/>
        <v>139.14065544516166</v>
      </c>
      <c r="AN16" s="524">
        <f t="shared" si="17"/>
        <v>132.39229861496295</v>
      </c>
    </row>
    <row r="17" spans="2:40" ht="15" x14ac:dyDescent="0.25">
      <c r="B17" s="367" t="s">
        <v>403</v>
      </c>
      <c r="C17" s="587">
        <v>77.413838101041677</v>
      </c>
      <c r="D17" s="587">
        <v>60.825158507961312</v>
      </c>
      <c r="E17" s="588">
        <v>12</v>
      </c>
      <c r="F17" s="588">
        <v>410849</v>
      </c>
      <c r="G17" s="587" t="b">
        <v>1</v>
      </c>
      <c r="H17" s="587" t="b">
        <v>1</v>
      </c>
      <c r="J17" s="138" t="str">
        <f t="shared" si="18"/>
        <v>Food service</v>
      </c>
      <c r="K17" s="514">
        <f t="shared" si="19"/>
        <v>77.413838101041677</v>
      </c>
      <c r="L17" s="515">
        <f t="shared" si="20"/>
        <v>60.825158507961312</v>
      </c>
      <c r="M17" s="268">
        <f t="shared" si="21"/>
        <v>138.23899660900298</v>
      </c>
      <c r="N17" s="514">
        <f t="shared" si="22"/>
        <v>73.807466856951891</v>
      </c>
      <c r="O17" s="515">
        <f t="shared" si="22"/>
        <v>48.66012680636905</v>
      </c>
      <c r="P17" s="268">
        <f t="shared" si="22"/>
        <v>122.46759366332094</v>
      </c>
      <c r="Q17" s="514">
        <v>0</v>
      </c>
      <c r="R17" s="515">
        <f t="shared" si="2"/>
        <v>87.978136112768198</v>
      </c>
      <c r="S17" s="268">
        <f t="shared" si="3"/>
        <v>87.978136112768198</v>
      </c>
      <c r="T17" s="514">
        <v>0</v>
      </c>
      <c r="U17" s="515">
        <f t="shared" si="4"/>
        <v>87.511198122303</v>
      </c>
      <c r="V17" s="268">
        <f t="shared" si="13"/>
        <v>87.511198122303</v>
      </c>
      <c r="W17" s="263"/>
      <c r="Y17" s="516" t="str">
        <f t="shared" si="5"/>
        <v>Food service</v>
      </c>
      <c r="Z17" s="517">
        <f t="shared" si="6"/>
        <v>4.2754081195575262</v>
      </c>
      <c r="AA17" s="518">
        <f t="shared" si="7"/>
        <v>4.0510819071816773</v>
      </c>
      <c r="AB17" s="519">
        <f t="shared" si="8"/>
        <v>0.23715224479224667</v>
      </c>
      <c r="AC17" s="520">
        <f t="shared" si="9"/>
        <v>40.261235541915127</v>
      </c>
      <c r="AD17" s="521">
        <f t="shared" si="9"/>
        <v>51.724781885810735</v>
      </c>
      <c r="AE17" s="522">
        <f t="shared" ref="AE17:AE30" si="23">AD17/AC17-1</f>
        <v>0.28472912441947162</v>
      </c>
      <c r="AF17" s="523">
        <f t="shared" ref="AF17:AF30" si="24">(AD17-AC17)/(Z17-AB17)</f>
        <v>2.8387369942381175</v>
      </c>
      <c r="AG17" s="523">
        <f t="shared" si="12"/>
        <v>0.15531689180057345</v>
      </c>
      <c r="AI17" s="506"/>
      <c r="AJ17" s="524"/>
      <c r="AK17" s="524">
        <f t="shared" si="14"/>
        <v>138.23899660900298</v>
      </c>
      <c r="AL17" s="524">
        <f t="shared" si="15"/>
        <v>122.46759366332094</v>
      </c>
      <c r="AM17" s="524">
        <f t="shared" si="16"/>
        <v>87.978136112768198</v>
      </c>
      <c r="AN17" s="524">
        <f t="shared" si="17"/>
        <v>87.511198122303</v>
      </c>
    </row>
    <row r="18" spans="2:40" ht="15" x14ac:dyDescent="0.25">
      <c r="B18" s="367" t="s">
        <v>483</v>
      </c>
      <c r="C18" s="587">
        <v>132.21265605329577</v>
      </c>
      <c r="D18" s="587">
        <v>122.04245174150378</v>
      </c>
      <c r="E18" s="588">
        <v>5</v>
      </c>
      <c r="F18" s="588">
        <v>1337399</v>
      </c>
      <c r="G18" s="587" t="b">
        <v>1</v>
      </c>
      <c r="H18" s="587" t="b">
        <v>1</v>
      </c>
      <c r="J18" s="138" t="str">
        <f t="shared" si="18"/>
        <v>Health care Inpatient</v>
      </c>
      <c r="K18" s="514">
        <f t="shared" si="19"/>
        <v>120.26057293136836</v>
      </c>
      <c r="L18" s="515">
        <f t="shared" si="20"/>
        <v>81.201204819277109</v>
      </c>
      <c r="M18" s="268">
        <f t="shared" si="21"/>
        <v>201.46177775064547</v>
      </c>
      <c r="N18" s="514">
        <f t="shared" si="22"/>
        <v>103.74620413935986</v>
      </c>
      <c r="O18" s="515">
        <f t="shared" si="22"/>
        <v>64.960963855421696</v>
      </c>
      <c r="P18" s="268">
        <f t="shared" si="22"/>
        <v>168.70716799478157</v>
      </c>
      <c r="Q18" s="514">
        <v>0</v>
      </c>
      <c r="R18" s="515">
        <f t="shared" si="2"/>
        <v>117.05679535393872</v>
      </c>
      <c r="S18" s="268">
        <f t="shared" si="3"/>
        <v>117.05679535393872</v>
      </c>
      <c r="T18" s="514">
        <v>0</v>
      </c>
      <c r="U18" s="515">
        <f t="shared" si="4"/>
        <v>107.0510759041569</v>
      </c>
      <c r="V18" s="268">
        <f t="shared" si="13"/>
        <v>107.0510759041569</v>
      </c>
      <c r="W18" s="263"/>
      <c r="Y18" s="516" t="str">
        <f t="shared" si="5"/>
        <v>Health care Inpatient</v>
      </c>
      <c r="Z18" s="517">
        <f t="shared" si="6"/>
        <v>6.6059235018869273</v>
      </c>
      <c r="AA18" s="518">
        <f t="shared" si="7"/>
        <v>5.6850684806429657</v>
      </c>
      <c r="AB18" s="519">
        <f t="shared" si="8"/>
        <v>0.31553614355719878</v>
      </c>
      <c r="AC18" s="520">
        <f t="shared" si="9"/>
        <v>33.075558536468264</v>
      </c>
      <c r="AD18" s="521">
        <f t="shared" si="9"/>
        <v>86.564086427615251</v>
      </c>
      <c r="AE18" s="522">
        <f t="shared" si="23"/>
        <v>1.6171617429278453</v>
      </c>
      <c r="AF18" s="523">
        <f t="shared" si="24"/>
        <v>8.503216867927458</v>
      </c>
      <c r="AG18" s="523">
        <f t="shared" si="12"/>
        <v>0.51557093905139018</v>
      </c>
      <c r="AI18" s="506"/>
      <c r="AJ18" s="524"/>
      <c r="AK18" s="524">
        <f t="shared" si="14"/>
        <v>201.46177775064547</v>
      </c>
      <c r="AL18" s="524">
        <f t="shared" si="15"/>
        <v>168.70716799478157</v>
      </c>
      <c r="AM18" s="524">
        <f t="shared" si="16"/>
        <v>117.05679535393872</v>
      </c>
      <c r="AN18" s="524">
        <f t="shared" si="17"/>
        <v>107.0510759041569</v>
      </c>
    </row>
    <row r="19" spans="2:40" ht="15" x14ac:dyDescent="0.25">
      <c r="B19" s="367" t="s">
        <v>484</v>
      </c>
      <c r="C19" s="587">
        <v>11.263967214540365</v>
      </c>
      <c r="D19" s="587">
        <v>63.829147549062078</v>
      </c>
      <c r="E19" s="588">
        <v>27</v>
      </c>
      <c r="F19" s="588">
        <v>4176747</v>
      </c>
      <c r="G19" s="587" t="b">
        <v>1</v>
      </c>
      <c r="H19" s="587" t="b">
        <v>1</v>
      </c>
      <c r="J19" s="138" t="str">
        <f t="shared" si="18"/>
        <v>Health care Outpatient</v>
      </c>
      <c r="K19" s="514">
        <f t="shared" si="19"/>
        <v>11.263967214540365</v>
      </c>
      <c r="L19" s="515">
        <f t="shared" si="20"/>
        <v>63.829147549062078</v>
      </c>
      <c r="M19" s="268">
        <f t="shared" si="21"/>
        <v>75.093114763602443</v>
      </c>
      <c r="N19" s="514">
        <f t="shared" si="22"/>
        <v>8.2347046522195733</v>
      </c>
      <c r="O19" s="515">
        <f t="shared" si="22"/>
        <v>51.063318039249666</v>
      </c>
      <c r="P19" s="268">
        <f t="shared" si="22"/>
        <v>59.298022691469242</v>
      </c>
      <c r="Q19" s="514">
        <v>0</v>
      </c>
      <c r="R19" s="515">
        <f t="shared" si="2"/>
        <v>53.80234142189947</v>
      </c>
      <c r="S19" s="268">
        <f t="shared" si="3"/>
        <v>53.80234142189947</v>
      </c>
      <c r="T19" s="514">
        <v>0</v>
      </c>
      <c r="U19" s="515">
        <f t="shared" si="4"/>
        <v>53.536748674829276</v>
      </c>
      <c r="V19" s="268">
        <f t="shared" si="13"/>
        <v>53.536748674829276</v>
      </c>
      <c r="W19" s="263"/>
      <c r="Y19" s="516" t="str">
        <f t="shared" si="5"/>
        <v>Health care Outpatient</v>
      </c>
      <c r="Z19" s="517">
        <f t="shared" si="6"/>
        <v>0.77028597435728707</v>
      </c>
      <c r="AA19" s="518">
        <f t="shared" si="7"/>
        <v>0.57499050455382017</v>
      </c>
      <c r="AB19" s="519">
        <f t="shared" si="8"/>
        <v>0.14502860150307936</v>
      </c>
      <c r="AC19" s="520">
        <f t="shared" si="9"/>
        <v>1.1229219283831744</v>
      </c>
      <c r="AD19" s="521">
        <f t="shared" si="9"/>
        <v>10.659616604788237</v>
      </c>
      <c r="AE19" s="522">
        <f t="shared" si="23"/>
        <v>8.4927495272412727</v>
      </c>
      <c r="AF19" s="523">
        <f t="shared" si="24"/>
        <v>15.252430583699409</v>
      </c>
      <c r="AG19" s="523">
        <f t="shared" si="12"/>
        <v>1.1581101058475185</v>
      </c>
      <c r="AI19" s="506"/>
      <c r="AJ19" s="524"/>
      <c r="AK19" s="524">
        <f t="shared" si="14"/>
        <v>75.093114763602443</v>
      </c>
      <c r="AL19" s="524">
        <f t="shared" si="15"/>
        <v>59.298022691469242</v>
      </c>
      <c r="AM19" s="524">
        <f t="shared" si="16"/>
        <v>53.80234142189947</v>
      </c>
      <c r="AN19" s="524">
        <f t="shared" si="17"/>
        <v>53.536748674829276</v>
      </c>
    </row>
    <row r="20" spans="2:40" ht="15" x14ac:dyDescent="0.25">
      <c r="B20" s="367" t="s">
        <v>416</v>
      </c>
      <c r="C20" s="587">
        <v>34.504260375146501</v>
      </c>
      <c r="D20" s="587">
        <v>33.821007694450529</v>
      </c>
      <c r="E20" s="588">
        <v>108</v>
      </c>
      <c r="F20" s="588">
        <v>14454731</v>
      </c>
      <c r="G20" s="587" t="b">
        <v>1</v>
      </c>
      <c r="H20" s="587" t="b">
        <v>1</v>
      </c>
      <c r="J20" s="138" t="str">
        <f t="shared" si="18"/>
        <v>Lodging</v>
      </c>
      <c r="K20" s="514">
        <f t="shared" si="19"/>
        <v>34.504260375146501</v>
      </c>
      <c r="L20" s="515">
        <f t="shared" si="20"/>
        <v>33.821007694450529</v>
      </c>
      <c r="M20" s="268">
        <f t="shared" si="21"/>
        <v>68.32526806959703</v>
      </c>
      <c r="N20" s="514">
        <f t="shared" si="22"/>
        <v>31.663396300936828</v>
      </c>
      <c r="O20" s="515">
        <f t="shared" si="22"/>
        <v>27.056806155560423</v>
      </c>
      <c r="P20" s="268">
        <f t="shared" si="22"/>
        <v>58.720202456497248</v>
      </c>
      <c r="Q20" s="514">
        <v>0</v>
      </c>
      <c r="R20" s="515">
        <f t="shared" si="2"/>
        <v>41.797585811863591</v>
      </c>
      <c r="S20" s="268">
        <f t="shared" si="3"/>
        <v>41.797585811863591</v>
      </c>
      <c r="T20" s="514">
        <v>0</v>
      </c>
      <c r="U20" s="515">
        <f t="shared" si="4"/>
        <v>41.57724368230582</v>
      </c>
      <c r="V20" s="268">
        <f t="shared" si="13"/>
        <v>41.57724368230582</v>
      </c>
      <c r="W20" s="263"/>
      <c r="Y20" s="516" t="str">
        <f t="shared" si="5"/>
        <v>Lodging</v>
      </c>
      <c r="Z20" s="517">
        <f t="shared" si="6"/>
        <v>1.9236885545142</v>
      </c>
      <c r="AA20" s="518">
        <f t="shared" si="7"/>
        <v>1.7545768063348903</v>
      </c>
      <c r="AB20" s="519">
        <f t="shared" si="8"/>
        <v>0.11266880318394734</v>
      </c>
      <c r="AC20" s="520">
        <f t="shared" si="9"/>
        <v>6.2135439624334676</v>
      </c>
      <c r="AD20" s="521">
        <f t="shared" si="9"/>
        <v>17.336866453664946</v>
      </c>
      <c r="AE20" s="522">
        <f t="shared" si="23"/>
        <v>1.7901736204784409</v>
      </c>
      <c r="AF20" s="523">
        <f t="shared" si="24"/>
        <v>6.1420216334256095</v>
      </c>
      <c r="AG20" s="523">
        <f t="shared" si="12"/>
        <v>0.35129909582385421</v>
      </c>
      <c r="AI20" s="506"/>
      <c r="AJ20" s="524"/>
      <c r="AK20" s="524">
        <f t="shared" si="14"/>
        <v>68.32526806959703</v>
      </c>
      <c r="AL20" s="524">
        <f t="shared" si="15"/>
        <v>58.720202456497248</v>
      </c>
      <c r="AM20" s="524">
        <f t="shared" si="16"/>
        <v>41.797585811863591</v>
      </c>
      <c r="AN20" s="524">
        <f t="shared" si="17"/>
        <v>41.57724368230582</v>
      </c>
    </row>
    <row r="21" spans="2:40" ht="15" x14ac:dyDescent="0.25">
      <c r="B21" s="367" t="s">
        <v>485</v>
      </c>
      <c r="C21" s="587">
        <v>23.087218676118475</v>
      </c>
      <c r="D21" s="587">
        <v>41.043944313099523</v>
      </c>
      <c r="E21" s="588">
        <v>11</v>
      </c>
      <c r="F21" s="588">
        <v>1839008</v>
      </c>
      <c r="G21" s="587" t="b">
        <v>1</v>
      </c>
      <c r="H21" s="587" t="b">
        <v>1</v>
      </c>
      <c r="J21" s="138" t="str">
        <f t="shared" si="18"/>
        <v>Mercantile Enclosed and strip malls</v>
      </c>
      <c r="K21" s="514">
        <f t="shared" si="19"/>
        <v>23.087218676118475</v>
      </c>
      <c r="L21" s="515">
        <f t="shared" si="20"/>
        <v>41.043944313099523</v>
      </c>
      <c r="M21" s="268">
        <f t="shared" si="21"/>
        <v>64.131162989217998</v>
      </c>
      <c r="N21" s="514">
        <f t="shared" si="22"/>
        <v>20.705039291017332</v>
      </c>
      <c r="O21" s="515">
        <f t="shared" si="22"/>
        <v>32.835155450479618</v>
      </c>
      <c r="P21" s="268">
        <f t="shared" si="22"/>
        <v>53.540194741496947</v>
      </c>
      <c r="Q21" s="514">
        <v>0</v>
      </c>
      <c r="R21" s="515">
        <f t="shared" si="2"/>
        <v>43.460396676335272</v>
      </c>
      <c r="S21" s="268">
        <f t="shared" si="3"/>
        <v>43.460396676335272</v>
      </c>
      <c r="T21" s="514">
        <v>0</v>
      </c>
      <c r="U21" s="515">
        <f t="shared" si="4"/>
        <v>43.211917953420162</v>
      </c>
      <c r="V21" s="268">
        <f t="shared" si="13"/>
        <v>43.211917953420162</v>
      </c>
      <c r="W21" s="263"/>
      <c r="Y21" s="516" t="str">
        <f t="shared" si="5"/>
        <v>Mercantile Enclosed and strip malls</v>
      </c>
      <c r="Z21" s="517">
        <f t="shared" si="6"/>
        <v>1.336799484916525</v>
      </c>
      <c r="AA21" s="518">
        <f t="shared" si="7"/>
        <v>1.1881544775682289</v>
      </c>
      <c r="AB21" s="519">
        <f t="shared" si="8"/>
        <v>0.11715104555231191</v>
      </c>
      <c r="AC21" s="520">
        <f t="shared" si="9"/>
        <v>8.0915397902525701</v>
      </c>
      <c r="AD21" s="521">
        <f t="shared" si="9"/>
        <v>15.867419690223464</v>
      </c>
      <c r="AE21" s="522">
        <f t="shared" si="23"/>
        <v>0.96098889723536507</v>
      </c>
      <c r="AF21" s="523">
        <f t="shared" si="24"/>
        <v>6.3755092443067936</v>
      </c>
      <c r="AG21" s="523">
        <f t="shared" si="12"/>
        <v>0.37555494537720485</v>
      </c>
      <c r="AI21" s="506"/>
      <c r="AJ21" s="524"/>
      <c r="AK21" s="524">
        <f t="shared" si="14"/>
        <v>64.131162989217998</v>
      </c>
      <c r="AL21" s="524">
        <f t="shared" si="15"/>
        <v>53.540194741496947</v>
      </c>
      <c r="AM21" s="524">
        <f t="shared" si="16"/>
        <v>43.460396676335272</v>
      </c>
      <c r="AN21" s="524">
        <f t="shared" si="17"/>
        <v>43.211917953420162</v>
      </c>
    </row>
    <row r="22" spans="2:40" ht="15" x14ac:dyDescent="0.25">
      <c r="B22" s="367" t="s">
        <v>486</v>
      </c>
      <c r="C22" s="587">
        <v>17.476567750436615</v>
      </c>
      <c r="D22" s="587">
        <v>40.778658084352116</v>
      </c>
      <c r="E22" s="588">
        <v>67</v>
      </c>
      <c r="F22" s="588">
        <v>6165819</v>
      </c>
      <c r="G22" s="587" t="b">
        <v>1</v>
      </c>
      <c r="H22" s="587" t="b">
        <v>1</v>
      </c>
      <c r="J22" s="138" t="str">
        <f t="shared" si="18"/>
        <v>Mercantile Retail (other than mall)</v>
      </c>
      <c r="K22" s="514">
        <f t="shared" si="19"/>
        <v>17.476567750436615</v>
      </c>
      <c r="L22" s="515">
        <f t="shared" si="20"/>
        <v>40.778658084352116</v>
      </c>
      <c r="M22" s="268">
        <f t="shared" si="21"/>
        <v>58.255225834788732</v>
      </c>
      <c r="N22" s="514">
        <f t="shared" si="22"/>
        <v>13.934489213762673</v>
      </c>
      <c r="O22" s="515">
        <f t="shared" si="22"/>
        <v>32.622926467481697</v>
      </c>
      <c r="P22" s="268">
        <f t="shared" si="22"/>
        <v>46.557415681244372</v>
      </c>
      <c r="Q22" s="514">
        <v>0</v>
      </c>
      <c r="R22" s="515">
        <f t="shared" si="2"/>
        <v>38.387939691648739</v>
      </c>
      <c r="S22" s="268">
        <f t="shared" si="3"/>
        <v>38.387939691648739</v>
      </c>
      <c r="T22" s="514">
        <v>0</v>
      </c>
      <c r="U22" s="515">
        <f t="shared" si="4"/>
        <v>38.184180263067489</v>
      </c>
      <c r="V22" s="268">
        <f t="shared" si="13"/>
        <v>38.184180263067489</v>
      </c>
      <c r="W22" s="263"/>
      <c r="Y22" s="516" t="str">
        <f t="shared" si="5"/>
        <v>Mercantile Retail (other than mall)</v>
      </c>
      <c r="Z22" s="517">
        <f t="shared" si="6"/>
        <v>1.0381027135769654</v>
      </c>
      <c r="AA22" s="518">
        <f t="shared" si="7"/>
        <v>0.82799848242395691</v>
      </c>
      <c r="AB22" s="519">
        <f t="shared" si="8"/>
        <v>0.10347782384426599</v>
      </c>
      <c r="AC22" s="520">
        <f t="shared" si="9"/>
        <v>4.3782856211245225</v>
      </c>
      <c r="AD22" s="521">
        <f t="shared" si="9"/>
        <v>15.426509444170289</v>
      </c>
      <c r="AE22" s="522">
        <f t="shared" si="23"/>
        <v>2.523413221316551</v>
      </c>
      <c r="AF22" s="523">
        <f t="shared" si="24"/>
        <v>11.821024610424759</v>
      </c>
      <c r="AG22" s="523">
        <f t="shared" si="12"/>
        <v>0.79286894937876673</v>
      </c>
      <c r="AI22" s="506"/>
      <c r="AJ22" s="524"/>
      <c r="AK22" s="524">
        <f t="shared" si="14"/>
        <v>58.255225834788732</v>
      </c>
      <c r="AL22" s="524">
        <f t="shared" si="15"/>
        <v>46.557415681244372</v>
      </c>
      <c r="AM22" s="524">
        <f t="shared" si="16"/>
        <v>38.387939691648739</v>
      </c>
      <c r="AN22" s="524">
        <f t="shared" si="17"/>
        <v>38.184180263067489</v>
      </c>
    </row>
    <row r="23" spans="2:40" ht="15" x14ac:dyDescent="0.25">
      <c r="B23" s="367" t="s">
        <v>425</v>
      </c>
      <c r="C23" s="587">
        <v>2.5848953041318552</v>
      </c>
      <c r="D23" s="587">
        <v>49.11301077850537</v>
      </c>
      <c r="E23" s="588">
        <v>324</v>
      </c>
      <c r="F23" s="588">
        <v>54225910</v>
      </c>
      <c r="G23" s="587" t="b">
        <v>0</v>
      </c>
      <c r="H23" s="587" t="b">
        <v>1</v>
      </c>
      <c r="J23" s="138" t="str">
        <f t="shared" si="18"/>
        <v>Office</v>
      </c>
      <c r="K23" s="514">
        <f t="shared" si="19"/>
        <v>2.5848953041318552</v>
      </c>
      <c r="L23" s="515">
        <f t="shared" si="20"/>
        <v>49.11301077850537</v>
      </c>
      <c r="M23" s="268">
        <f t="shared" si="21"/>
        <v>51.697906082637225</v>
      </c>
      <c r="N23" s="514">
        <f t="shared" si="22"/>
        <v>2.5848953041318552</v>
      </c>
      <c r="O23" s="515">
        <f t="shared" si="22"/>
        <v>39.2904086228043</v>
      </c>
      <c r="P23" s="268">
        <f t="shared" si="22"/>
        <v>41.875303926936155</v>
      </c>
      <c r="Q23" s="514">
        <v>0</v>
      </c>
      <c r="R23" s="515">
        <f t="shared" si="2"/>
        <v>41.163056138147255</v>
      </c>
      <c r="S23" s="268">
        <f t="shared" si="3"/>
        <v>41.163056138147255</v>
      </c>
      <c r="T23" s="514">
        <v>0</v>
      </c>
      <c r="U23" s="515">
        <f t="shared" si="4"/>
        <v>40.883081354467805</v>
      </c>
      <c r="V23" s="268">
        <f t="shared" si="13"/>
        <v>40.883081354467805</v>
      </c>
      <c r="W23" s="263"/>
      <c r="Y23" s="516" t="str">
        <f t="shared" si="5"/>
        <v>Office</v>
      </c>
      <c r="Z23" s="517">
        <f t="shared" si="6"/>
        <v>0.26967191771303595</v>
      </c>
      <c r="AA23" s="518">
        <f t="shared" si="7"/>
        <v>0.24319429209091734</v>
      </c>
      <c r="AB23" s="519">
        <f t="shared" si="8"/>
        <v>0.11095837667165752</v>
      </c>
      <c r="AC23" s="520">
        <f t="shared" si="9"/>
        <v>1.1855356058063047</v>
      </c>
      <c r="AD23" s="521">
        <f t="shared" si="9"/>
        <v>1.2228326892812522</v>
      </c>
      <c r="AE23" s="522">
        <f t="shared" si="23"/>
        <v>3.1460112452363687E-2</v>
      </c>
      <c r="AF23" s="523">
        <f t="shared" si="24"/>
        <v>0.23499622798551109</v>
      </c>
      <c r="AG23" s="523">
        <f t="shared" si="12"/>
        <v>1.4428856524799898E-2</v>
      </c>
      <c r="AI23" s="506"/>
      <c r="AJ23" s="524"/>
      <c r="AK23" s="524">
        <f t="shared" si="14"/>
        <v>51.697906082637225</v>
      </c>
      <c r="AL23" s="524">
        <f t="shared" si="15"/>
        <v>41.875303926936155</v>
      </c>
      <c r="AM23" s="524">
        <f t="shared" si="16"/>
        <v>41.163056138147255</v>
      </c>
      <c r="AN23" s="524">
        <f t="shared" si="17"/>
        <v>40.883081354467805</v>
      </c>
    </row>
    <row r="24" spans="2:40" ht="15" x14ac:dyDescent="0.25">
      <c r="B24" s="367" t="s">
        <v>173</v>
      </c>
      <c r="C24" s="587">
        <v>23.067117684886028</v>
      </c>
      <c r="D24" s="587">
        <v>39.27644362561675</v>
      </c>
      <c r="E24" s="588">
        <v>95</v>
      </c>
      <c r="F24" s="588">
        <v>12323030</v>
      </c>
      <c r="G24" s="587" t="b">
        <v>1</v>
      </c>
      <c r="H24" s="587" t="b">
        <v>1</v>
      </c>
      <c r="J24" s="138" t="str">
        <f t="shared" si="18"/>
        <v>Other</v>
      </c>
      <c r="K24" s="514">
        <f t="shared" si="19"/>
        <v>23.067117684886028</v>
      </c>
      <c r="L24" s="515">
        <f t="shared" si="20"/>
        <v>39.27644362561675</v>
      </c>
      <c r="M24" s="268">
        <f t="shared" si="21"/>
        <v>62.343561310502778</v>
      </c>
      <c r="N24" s="514">
        <f t="shared" si="22"/>
        <v>16.535342379050782</v>
      </c>
      <c r="O24" s="515">
        <f t="shared" si="22"/>
        <v>31.421154900493402</v>
      </c>
      <c r="P24" s="268">
        <f t="shared" si="22"/>
        <v>47.95649727954418</v>
      </c>
      <c r="Q24" s="514">
        <v>0</v>
      </c>
      <c r="R24" s="515">
        <f t="shared" si="2"/>
        <v>36.827795613195093</v>
      </c>
      <c r="S24" s="268">
        <f t="shared" si="3"/>
        <v>36.827795613195093</v>
      </c>
      <c r="T24" s="514">
        <v>0</v>
      </c>
      <c r="U24" s="515">
        <f t="shared" si="4"/>
        <v>34.512342516853522</v>
      </c>
      <c r="V24" s="268">
        <f t="shared" si="13"/>
        <v>34.512342516853522</v>
      </c>
      <c r="W24" s="263"/>
      <c r="Y24" s="516" t="str">
        <f t="shared" si="5"/>
        <v>Other</v>
      </c>
      <c r="Z24" s="517">
        <f t="shared" si="6"/>
        <v>1.330967478943327</v>
      </c>
      <c r="AA24" s="518">
        <f t="shared" si="7"/>
        <v>0.96289032071061098</v>
      </c>
      <c r="AB24" s="519">
        <f t="shared" si="8"/>
        <v>9.9272328175087826E-2</v>
      </c>
      <c r="AC24" s="520">
        <f t="shared" si="9"/>
        <v>2.2946098290592358</v>
      </c>
      <c r="AD24" s="521">
        <f t="shared" si="9"/>
        <v>22.703754674762713</v>
      </c>
      <c r="AE24" s="522">
        <f t="shared" si="23"/>
        <v>8.8943856978382225</v>
      </c>
      <c r="AF24" s="523">
        <f t="shared" si="24"/>
        <v>16.569964437201673</v>
      </c>
      <c r="AG24" s="523">
        <f t="shared" si="12"/>
        <v>1.2342741007625311</v>
      </c>
      <c r="AI24" s="506"/>
      <c r="AJ24" s="524"/>
      <c r="AK24" s="524">
        <f t="shared" si="14"/>
        <v>62.343561310502778</v>
      </c>
      <c r="AL24" s="524">
        <f t="shared" si="15"/>
        <v>47.95649727954418</v>
      </c>
      <c r="AM24" s="524">
        <f t="shared" si="16"/>
        <v>36.827795613195093</v>
      </c>
      <c r="AN24" s="524">
        <f t="shared" si="17"/>
        <v>34.512342516853522</v>
      </c>
    </row>
    <row r="25" spans="2:40" ht="15" x14ac:dyDescent="0.25">
      <c r="B25" s="367" t="s">
        <v>427</v>
      </c>
      <c r="C25" s="587">
        <v>45.399625746032548</v>
      </c>
      <c r="D25" s="587">
        <v>39.459487797953521</v>
      </c>
      <c r="E25" s="588">
        <v>46</v>
      </c>
      <c r="F25" s="588">
        <v>5078316</v>
      </c>
      <c r="G25" s="587" t="b">
        <v>1</v>
      </c>
      <c r="H25" s="587" t="b">
        <v>1</v>
      </c>
      <c r="J25" s="138" t="str">
        <f t="shared" si="18"/>
        <v>Public assembly</v>
      </c>
      <c r="K25" s="514">
        <f t="shared" si="19"/>
        <v>45.399625746032548</v>
      </c>
      <c r="L25" s="515">
        <f t="shared" si="20"/>
        <v>39.459487797953521</v>
      </c>
      <c r="M25" s="268">
        <f t="shared" si="21"/>
        <v>84.859113543986069</v>
      </c>
      <c r="N25" s="514">
        <f t="shared" si="22"/>
        <v>35.89559643417239</v>
      </c>
      <c r="O25" s="515">
        <f t="shared" si="22"/>
        <v>31.567590238362818</v>
      </c>
      <c r="P25" s="268">
        <f t="shared" si="22"/>
        <v>67.463186672535215</v>
      </c>
      <c r="Q25" s="514">
        <v>0</v>
      </c>
      <c r="R25" s="515">
        <f t="shared" si="2"/>
        <v>47.934814148075091</v>
      </c>
      <c r="S25" s="268">
        <f t="shared" si="3"/>
        <v>47.934814148075091</v>
      </c>
      <c r="T25" s="514">
        <v>0</v>
      </c>
      <c r="U25" s="515">
        <f t="shared" si="4"/>
        <v>43.626139849375775</v>
      </c>
      <c r="V25" s="268">
        <f t="shared" si="13"/>
        <v>43.626139849375775</v>
      </c>
      <c r="W25" s="263"/>
      <c r="Y25" s="516" t="str">
        <f t="shared" si="5"/>
        <v>Public assembly</v>
      </c>
      <c r="Z25" s="517">
        <f t="shared" si="6"/>
        <v>2.5175403925735163</v>
      </c>
      <c r="AA25" s="518">
        <f t="shared" si="7"/>
        <v>1.9915081419802778</v>
      </c>
      <c r="AB25" s="519">
        <f t="shared" si="8"/>
        <v>0.12921220295397171</v>
      </c>
      <c r="AC25" s="520">
        <f t="shared" si="9"/>
        <v>11.537842216619296</v>
      </c>
      <c r="AD25" s="521">
        <f t="shared" si="9"/>
        <v>40.828537043558988</v>
      </c>
      <c r="AE25" s="522">
        <f t="shared" si="23"/>
        <v>2.5386631466279628</v>
      </c>
      <c r="AF25" s="523">
        <f t="shared" si="24"/>
        <v>12.264099613380871</v>
      </c>
      <c r="AG25" s="523">
        <f t="shared" si="12"/>
        <v>0.81599688364712974</v>
      </c>
      <c r="AI25" s="506"/>
      <c r="AJ25" s="524"/>
      <c r="AK25" s="524">
        <f t="shared" si="14"/>
        <v>84.859113543986069</v>
      </c>
      <c r="AL25" s="524">
        <f t="shared" si="15"/>
        <v>67.463186672535215</v>
      </c>
      <c r="AM25" s="524">
        <f t="shared" si="16"/>
        <v>47.934814148075091</v>
      </c>
      <c r="AN25" s="524">
        <f t="shared" si="17"/>
        <v>43.626139849375775</v>
      </c>
    </row>
    <row r="26" spans="2:40" ht="15" x14ac:dyDescent="0.25">
      <c r="B26" s="367" t="s">
        <v>488</v>
      </c>
      <c r="C26" s="587">
        <v>37.682189444105894</v>
      </c>
      <c r="D26" s="587">
        <v>44.235613695254749</v>
      </c>
      <c r="E26" s="588">
        <v>3</v>
      </c>
      <c r="F26" s="588">
        <v>639680</v>
      </c>
      <c r="G26" s="587" t="b">
        <v>1</v>
      </c>
      <c r="H26" s="587" t="b">
        <v>1</v>
      </c>
      <c r="J26" s="138" t="str">
        <f t="shared" si="18"/>
        <v>Public order and safety</v>
      </c>
      <c r="K26" s="514">
        <f t="shared" si="19"/>
        <v>40.324565790152334</v>
      </c>
      <c r="L26" s="515">
        <f t="shared" si="20"/>
        <v>37.918072289156633</v>
      </c>
      <c r="M26" s="268">
        <f t="shared" si="21"/>
        <v>78.242638079308961</v>
      </c>
      <c r="N26" s="514">
        <f t="shared" si="22"/>
        <v>34.612116096642524</v>
      </c>
      <c r="O26" s="515">
        <f t="shared" si="22"/>
        <v>30.334457831325309</v>
      </c>
      <c r="P26" s="268">
        <f t="shared" si="22"/>
        <v>64.946573927967833</v>
      </c>
      <c r="Q26" s="514">
        <v>0</v>
      </c>
      <c r="R26" s="515">
        <f t="shared" si="2"/>
        <v>43.90511356257332</v>
      </c>
      <c r="S26" s="268">
        <f t="shared" si="3"/>
        <v>43.90511356257332</v>
      </c>
      <c r="T26" s="514">
        <v>0</v>
      </c>
      <c r="U26" s="515">
        <f t="shared" si="4"/>
        <v>42.476821206762899</v>
      </c>
      <c r="V26" s="268">
        <f t="shared" si="13"/>
        <v>42.476821206762899</v>
      </c>
      <c r="W26" s="263"/>
      <c r="Y26" s="516" t="str">
        <f t="shared" si="5"/>
        <v>Public order and safety</v>
      </c>
      <c r="Z26" s="517">
        <f t="shared" si="6"/>
        <v>2.2438489470352763</v>
      </c>
      <c r="AA26" s="518">
        <f t="shared" si="7"/>
        <v>1.9200184922289132</v>
      </c>
      <c r="AB26" s="519">
        <f t="shared" si="8"/>
        <v>0.11834981620748002</v>
      </c>
      <c r="AC26" s="520">
        <f t="shared" si="9"/>
        <v>6.055269368249558</v>
      </c>
      <c r="AD26" s="521">
        <f t="shared" si="9"/>
        <v>25.965584004642537</v>
      </c>
      <c r="AE26" s="522">
        <f t="shared" si="23"/>
        <v>3.288097262987427</v>
      </c>
      <c r="AF26" s="523">
        <f t="shared" si="24"/>
        <v>9.3673595757429045</v>
      </c>
      <c r="AG26" s="523">
        <f t="shared" si="12"/>
        <v>0.57524118377507516</v>
      </c>
      <c r="AI26" s="506"/>
      <c r="AJ26" s="524"/>
      <c r="AK26" s="524">
        <f t="shared" si="14"/>
        <v>78.242638079308961</v>
      </c>
      <c r="AL26" s="524">
        <f t="shared" si="15"/>
        <v>64.946573927967833</v>
      </c>
      <c r="AM26" s="524">
        <f t="shared" si="16"/>
        <v>43.90511356257332</v>
      </c>
      <c r="AN26" s="524">
        <f t="shared" si="17"/>
        <v>42.476821206762899</v>
      </c>
    </row>
    <row r="27" spans="2:40" ht="15" x14ac:dyDescent="0.25">
      <c r="B27" s="367" t="s">
        <v>431</v>
      </c>
      <c r="C27" s="587">
        <v>25.634607577914664</v>
      </c>
      <c r="D27" s="587">
        <v>12.063344742548077</v>
      </c>
      <c r="E27" s="588">
        <v>51</v>
      </c>
      <c r="F27" s="588">
        <v>1714520</v>
      </c>
      <c r="G27" s="587" t="b">
        <v>1</v>
      </c>
      <c r="H27" s="587" t="b">
        <v>1</v>
      </c>
      <c r="J27" s="138" t="str">
        <f t="shared" si="18"/>
        <v>Religious worship</v>
      </c>
      <c r="K27" s="514">
        <f t="shared" si="19"/>
        <v>25.634607577914664</v>
      </c>
      <c r="L27" s="515">
        <f t="shared" si="20"/>
        <v>12.063344742548077</v>
      </c>
      <c r="M27" s="268">
        <f t="shared" si="21"/>
        <v>37.69795232046274</v>
      </c>
      <c r="N27" s="514">
        <f t="shared" si="22"/>
        <v>19.528312950187829</v>
      </c>
      <c r="O27" s="515">
        <f t="shared" si="22"/>
        <v>9.6506757940384631</v>
      </c>
      <c r="P27" s="268">
        <f t="shared" si="22"/>
        <v>29.178988744226292</v>
      </c>
      <c r="Q27" s="514">
        <v>0</v>
      </c>
      <c r="R27" s="515">
        <f t="shared" si="2"/>
        <v>17.42680579487471</v>
      </c>
      <c r="S27" s="268">
        <f t="shared" si="3"/>
        <v>17.42680579487471</v>
      </c>
      <c r="T27" s="514">
        <v>0</v>
      </c>
      <c r="U27" s="515">
        <f t="shared" si="4"/>
        <v>15.95762205467225</v>
      </c>
      <c r="V27" s="268">
        <f t="shared" si="13"/>
        <v>15.95762205467225</v>
      </c>
      <c r="W27" s="263"/>
      <c r="Y27" s="516" t="str">
        <f t="shared" si="5"/>
        <v>Religious worship</v>
      </c>
      <c r="Z27" s="517">
        <f t="shared" si="6"/>
        <v>1.3939717385696626</v>
      </c>
      <c r="AA27" s="518">
        <f t="shared" si="7"/>
        <v>1.0631628848697674</v>
      </c>
      <c r="AB27" s="519">
        <f t="shared" si="8"/>
        <v>4.6975377024534158E-2</v>
      </c>
      <c r="AC27" s="520">
        <f t="shared" si="9"/>
        <v>6.0222258177858352</v>
      </c>
      <c r="AD27" s="521">
        <f t="shared" si="9"/>
        <v>24.762723015791398</v>
      </c>
      <c r="AE27" s="522">
        <f t="shared" si="23"/>
        <v>3.1118888206845421</v>
      </c>
      <c r="AF27" s="523">
        <f t="shared" si="24"/>
        <v>13.912804617013586</v>
      </c>
      <c r="AG27" s="523">
        <f t="shared" si="12"/>
        <v>0.95965776694628979</v>
      </c>
      <c r="AJ27" s="524"/>
      <c r="AK27" s="524">
        <f t="shared" si="14"/>
        <v>37.69795232046274</v>
      </c>
      <c r="AL27" s="524">
        <f t="shared" si="15"/>
        <v>29.178988744226292</v>
      </c>
      <c r="AM27" s="524">
        <f t="shared" si="16"/>
        <v>17.42680579487471</v>
      </c>
      <c r="AN27" s="524">
        <f t="shared" si="17"/>
        <v>15.95762205467225</v>
      </c>
    </row>
    <row r="28" spans="2:40" ht="15" x14ac:dyDescent="0.25">
      <c r="B28" s="367" t="s">
        <v>433</v>
      </c>
      <c r="C28" s="587">
        <v>66.514118603369383</v>
      </c>
      <c r="D28" s="587">
        <v>32.76068528225656</v>
      </c>
      <c r="E28" s="588">
        <v>11</v>
      </c>
      <c r="F28" s="588">
        <v>405042</v>
      </c>
      <c r="G28" s="587" t="b">
        <v>1</v>
      </c>
      <c r="H28" s="587" t="b">
        <v>1</v>
      </c>
      <c r="J28" s="138" t="str">
        <f t="shared" si="18"/>
        <v>Service</v>
      </c>
      <c r="K28" s="514">
        <f t="shared" si="19"/>
        <v>66.514118603369383</v>
      </c>
      <c r="L28" s="515">
        <f t="shared" si="20"/>
        <v>32.76068528225656</v>
      </c>
      <c r="M28" s="268">
        <f t="shared" si="21"/>
        <v>99.274803885625943</v>
      </c>
      <c r="N28" s="514">
        <f t="shared" si="22"/>
        <v>53.116136468592721</v>
      </c>
      <c r="O28" s="515">
        <f t="shared" si="22"/>
        <v>26.208548225805249</v>
      </c>
      <c r="P28" s="268">
        <f t="shared" si="22"/>
        <v>79.324684694397973</v>
      </c>
      <c r="Q28" s="514">
        <v>0</v>
      </c>
      <c r="R28" s="515">
        <f t="shared" si="2"/>
        <v>45.152720494939608</v>
      </c>
      <c r="S28" s="268">
        <f t="shared" si="3"/>
        <v>45.152720494939608</v>
      </c>
      <c r="T28" s="514">
        <v>0</v>
      </c>
      <c r="U28" s="515">
        <f t="shared" si="4"/>
        <v>38.118994630558127</v>
      </c>
      <c r="V28" s="268">
        <f t="shared" si="13"/>
        <v>38.118994630558127</v>
      </c>
      <c r="W28" s="263"/>
      <c r="Y28" s="516" t="str">
        <f t="shared" si="5"/>
        <v>Service</v>
      </c>
      <c r="Z28" s="517">
        <f t="shared" si="6"/>
        <v>3.620873939432133</v>
      </c>
      <c r="AA28" s="518">
        <f t="shared" si="7"/>
        <v>2.8916452881727075</v>
      </c>
      <c r="AB28" s="519">
        <f t="shared" si="8"/>
        <v>0.12171284249675934</v>
      </c>
      <c r="AC28" s="520">
        <f t="shared" ref="AC28:AD30" si="25">AN52</f>
        <v>6.6990945750472513</v>
      </c>
      <c r="AD28" s="521">
        <f t="shared" si="25"/>
        <v>50.986709894997858</v>
      </c>
      <c r="AE28" s="522">
        <f t="shared" si="23"/>
        <v>6.6109852344692763</v>
      </c>
      <c r="AF28" s="523">
        <f t="shared" si="24"/>
        <v>12.656638003531324</v>
      </c>
      <c r="AG28" s="523">
        <f t="shared" si="12"/>
        <v>0.8337883412536532</v>
      </c>
      <c r="AJ28" s="524"/>
      <c r="AK28" s="524">
        <f t="shared" si="14"/>
        <v>99.274803885625943</v>
      </c>
      <c r="AL28" s="524">
        <f t="shared" si="15"/>
        <v>79.324684694397973</v>
      </c>
      <c r="AM28" s="524">
        <f t="shared" si="16"/>
        <v>45.152720494939608</v>
      </c>
      <c r="AN28" s="524">
        <f t="shared" si="17"/>
        <v>38.118994630558127</v>
      </c>
    </row>
    <row r="29" spans="2:40" ht="15" x14ac:dyDescent="0.25">
      <c r="B29" s="367" t="s">
        <v>489</v>
      </c>
      <c r="C29" s="587">
        <v>10.524387844661511</v>
      </c>
      <c r="D29" s="587">
        <v>19.981084168850117</v>
      </c>
      <c r="E29" s="588">
        <v>236</v>
      </c>
      <c r="F29" s="588">
        <v>13724146</v>
      </c>
      <c r="G29" s="587" t="b">
        <v>1</v>
      </c>
      <c r="H29" s="587" t="b">
        <v>1</v>
      </c>
      <c r="J29" s="138" t="str">
        <f t="shared" si="18"/>
        <v>Warehouse and storage</v>
      </c>
      <c r="K29" s="514">
        <f t="shared" si="19"/>
        <v>10.524387844661511</v>
      </c>
      <c r="L29" s="515">
        <f t="shared" si="20"/>
        <v>19.981084168850117</v>
      </c>
      <c r="M29" s="268">
        <f t="shared" si="21"/>
        <v>30.505472013511628</v>
      </c>
      <c r="N29" s="514">
        <f t="shared" si="22"/>
        <v>8.6523316373071353</v>
      </c>
      <c r="O29" s="515">
        <f t="shared" si="22"/>
        <v>15.984867335080095</v>
      </c>
      <c r="P29" s="268">
        <f t="shared" si="22"/>
        <v>24.637198972387232</v>
      </c>
      <c r="Q29" s="514">
        <v>0</v>
      </c>
      <c r="R29" s="515">
        <f t="shared" si="2"/>
        <v>20.578439194408666</v>
      </c>
      <c r="S29" s="268">
        <f t="shared" si="3"/>
        <v>20.578439194408666</v>
      </c>
      <c r="T29" s="514">
        <v>0</v>
      </c>
      <c r="U29" s="515">
        <f t="shared" si="4"/>
        <v>20.461371423443843</v>
      </c>
      <c r="V29" s="268">
        <f t="shared" si="13"/>
        <v>20.461371423443843</v>
      </c>
      <c r="W29" s="263"/>
      <c r="Y29" s="516" t="str">
        <f t="shared" si="5"/>
        <v>Warehouse and storage</v>
      </c>
      <c r="Z29" s="517">
        <f t="shared" si="6"/>
        <v>0.61281088123731597</v>
      </c>
      <c r="AA29" s="518">
        <f t="shared" si="7"/>
        <v>0.50261384750325644</v>
      </c>
      <c r="AB29" s="519">
        <f t="shared" si="8"/>
        <v>5.5470862022121245E-2</v>
      </c>
      <c r="AC29" s="520">
        <f t="shared" si="25"/>
        <v>2.6876289020116082</v>
      </c>
      <c r="AD29" s="521">
        <f t="shared" si="25"/>
        <v>8.5193632804803894</v>
      </c>
      <c r="AE29" s="522">
        <f t="shared" si="23"/>
        <v>2.1698436023306291</v>
      </c>
      <c r="AF29" s="523">
        <f t="shared" si="24"/>
        <v>10.463512716493247</v>
      </c>
      <c r="AG29" s="523">
        <f t="shared" si="12"/>
        <v>0.67400726450700299</v>
      </c>
      <c r="AJ29" s="524"/>
      <c r="AK29" s="524">
        <f t="shared" si="14"/>
        <v>30.505472013511628</v>
      </c>
      <c r="AL29" s="524">
        <f t="shared" si="15"/>
        <v>24.637198972387232</v>
      </c>
      <c r="AM29" s="524">
        <f t="shared" si="16"/>
        <v>20.578439194408666</v>
      </c>
      <c r="AN29" s="524">
        <f t="shared" si="17"/>
        <v>20.461371423443843</v>
      </c>
    </row>
    <row r="30" spans="2:40" ht="15" x14ac:dyDescent="0.25">
      <c r="B30" s="367" t="s">
        <v>438</v>
      </c>
      <c r="C30" s="587"/>
      <c r="D30" s="587"/>
      <c r="E30" s="588"/>
      <c r="F30" s="588"/>
      <c r="G30" s="587" t="b">
        <v>1</v>
      </c>
      <c r="H30" s="587" t="b">
        <v>1</v>
      </c>
      <c r="J30" s="138" t="str">
        <f t="shared" si="18"/>
        <v>Vacant</v>
      </c>
      <c r="K30" s="514">
        <f t="shared" si="19"/>
        <v>10.367770808228103</v>
      </c>
      <c r="L30" s="515">
        <f t="shared" si="20"/>
        <v>13.348192771084337</v>
      </c>
      <c r="M30" s="268">
        <f t="shared" si="21"/>
        <v>23.71596357931244</v>
      </c>
      <c r="N30" s="514">
        <f t="shared" si="22"/>
        <v>7.5608436058153421</v>
      </c>
      <c r="O30" s="515">
        <f t="shared" si="22"/>
        <v>10.67855421686747</v>
      </c>
      <c r="P30" s="268">
        <f t="shared" si="22"/>
        <v>18.239397822682811</v>
      </c>
      <c r="Q30" s="514">
        <v>0</v>
      </c>
      <c r="R30" s="515">
        <f t="shared" si="2"/>
        <v>13.188125976563093</v>
      </c>
      <c r="S30" s="268">
        <f t="shared" si="3"/>
        <v>13.188125976563093</v>
      </c>
      <c r="T30" s="514">
        <v>0</v>
      </c>
      <c r="U30" s="515">
        <f t="shared" si="4"/>
        <v>13.111106652648305</v>
      </c>
      <c r="V30" s="268">
        <f t="shared" si="13"/>
        <v>13.111106652648305</v>
      </c>
      <c r="W30" s="263"/>
      <c r="Y30" s="516" t="str">
        <f t="shared" si="5"/>
        <v>Vacant</v>
      </c>
      <c r="Z30" s="517">
        <f t="shared" si="6"/>
        <v>0.58661345043443935</v>
      </c>
      <c r="AA30" s="518">
        <f t="shared" si="7"/>
        <v>0.43034131815240867</v>
      </c>
      <c r="AB30" s="519">
        <f t="shared" si="8"/>
        <v>3.5549669703572775E-2</v>
      </c>
      <c r="AC30" s="520">
        <f t="shared" si="25"/>
        <v>1.0332949716478759</v>
      </c>
      <c r="AD30" s="521">
        <f t="shared" si="25"/>
        <v>9.8612635000370492</v>
      </c>
      <c r="AE30" s="522">
        <f t="shared" si="23"/>
        <v>8.543512521221821</v>
      </c>
      <c r="AF30" s="523">
        <f t="shared" si="24"/>
        <v>16.01986709538556</v>
      </c>
      <c r="AG30" s="523">
        <f t="shared" si="12"/>
        <v>1.167590415651401</v>
      </c>
      <c r="AJ30" s="524"/>
      <c r="AK30" s="524">
        <f t="shared" si="14"/>
        <v>23.71596357931244</v>
      </c>
      <c r="AL30" s="524">
        <f t="shared" si="15"/>
        <v>18.239397822682811</v>
      </c>
      <c r="AM30" s="524">
        <f t="shared" si="16"/>
        <v>13.188125976563093</v>
      </c>
      <c r="AN30" s="524">
        <f t="shared" si="17"/>
        <v>13.111106652648305</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Seattle</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26">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442</v>
      </c>
      <c r="C36" s="525">
        <f t="shared" ref="C36:C54" si="27">F12</f>
        <v>25788474</v>
      </c>
      <c r="D36" s="526" t="b">
        <f t="shared" ref="D36:D54" si="28">E12&gt;=D$34+0</f>
        <v>1</v>
      </c>
      <c r="E36" s="526" t="str">
        <f t="shared" ref="E36:E54" si="29">IF(D36=TRUE,"City","CBECS")</f>
        <v>City</v>
      </c>
      <c r="F36" s="617">
        <f t="shared" ref="F36:F54" si="30">G36+H36</f>
        <v>29.772538383260766</v>
      </c>
      <c r="G36" s="531">
        <f>IF(D36,D12,'Typology Baseline - climate adj'!H36*$I$57+'Typology Baseline - climate adj'!I36)</f>
        <v>23.222579938943397</v>
      </c>
      <c r="H36" s="531">
        <f>IF(D36,C12,SUM('Typology Baseline - climate adj'!C36*$K$57*$K$58*G12,'Typology Baseline - climate adj'!$D36*H12,'Typology Baseline - climate adj'!$E36:$F36))</f>
        <v>6.5499584443173688</v>
      </c>
      <c r="I36" s="531">
        <f>'Typology Baseline - climate adj'!H36*$I$57/'Typology Baseline - climate adj'!G36*G36</f>
        <v>3.176693974965751</v>
      </c>
      <c r="J36" s="531">
        <f t="shared" ref="J36:J54" si="31">G36-I36</f>
        <v>20.045885963977646</v>
      </c>
      <c r="K36" s="531">
        <f>IF(G12,'Typology Baseline - climate adj'!C36*$K$57*$K$58*H36/SUM('Typology Baseline - climate adj'!C36*$K$57*$K$58,'Typology Baseline - climate adj'!D36*H12,'Typology Baseline - climate adj'!$E36:$F36),0)</f>
        <v>0</v>
      </c>
      <c r="L36" s="531">
        <f>IF(H12,($H36-$K36)/SUM('Typology Baseline - climate adj'!$D36:$F36)*'Typology Baseline - climate adj'!D36,0)</f>
        <v>5.7745999971874102</v>
      </c>
      <c r="M36" s="531">
        <f>IF('Typology Baseline - climate adj'!E36=0,0,($H36-$K36-$L36)/SUM('Typology Baseline - climate adj'!$E36:$F36)*'Typology Baseline - climate adj'!E36)</f>
        <v>0.77535844712995861</v>
      </c>
      <c r="N36" s="618">
        <f>IF('Typology Baseline - climate adj'!F36=0,0,($H36-$K36-$L36)/SUM('Typology Baseline - climate adj'!$E36:$F36)*'Typology Baseline - climate adj'!F36)</f>
        <v>0</v>
      </c>
      <c r="O36" s="612"/>
      <c r="P36" s="526"/>
      <c r="Q36" s="525">
        <f t="shared" ref="Q36:Q54" si="32">K36*(1-G$4)</f>
        <v>0</v>
      </c>
      <c r="R36" s="525">
        <f t="shared" ref="R36:R54" si="33">L36*(1-G$5)</f>
        <v>5.7745999971874102</v>
      </c>
      <c r="S36" s="525">
        <f t="shared" ref="S36:S54" si="34">M36*(1-G$6)</f>
        <v>0.77535844712995861</v>
      </c>
      <c r="T36" s="525">
        <f t="shared" ref="T36:T54" si="35">N36*(1-G$7)</f>
        <v>0</v>
      </c>
      <c r="U36" s="526"/>
      <c r="V36" s="525">
        <f t="shared" ref="V36:V38" si="36">SUM(Q36:T36)</f>
        <v>6.5499584443173688</v>
      </c>
      <c r="W36" s="533">
        <f t="shared" ref="W36:W54" si="37">G36*(1-$G$3)</f>
        <v>18.578063951154718</v>
      </c>
      <c r="X36" s="533">
        <f t="shared" ref="X36:X38" si="38">W36+V36</f>
        <v>25.128022395472087</v>
      </c>
      <c r="Y36" s="526"/>
      <c r="Z36" s="525">
        <f>SUMPRODUCT(Q36:T36,'Electrification of Gas End Uses'!$D$4:$G$4)</f>
        <v>2.8346861038359941</v>
      </c>
      <c r="AA36" s="533">
        <f t="shared" ref="AA36:AA38" si="39">W36</f>
        <v>18.578063951154718</v>
      </c>
      <c r="AB36" s="533">
        <f t="shared" ref="AB36:AB38" si="40">AA36+Z36</f>
        <v>21.412750054990713</v>
      </c>
      <c r="AD36" s="525">
        <f t="shared" ref="AD36:AD38" si="41">IF($AD$59&lt;Q36,$AD$59,Q36)</f>
        <v>0</v>
      </c>
      <c r="AE36" s="538">
        <f t="shared" ref="AE36:AF51" si="42">R36</f>
        <v>5.7745999971874102</v>
      </c>
      <c r="AF36" s="538">
        <f t="shared" si="42"/>
        <v>0.77535844712995861</v>
      </c>
      <c r="AG36" s="538">
        <f t="shared" si="26"/>
        <v>0</v>
      </c>
      <c r="AH36" s="538">
        <f t="shared" ref="AH36:AH54" si="43">J36*(1-$G$3)</f>
        <v>16.036708771182116</v>
      </c>
      <c r="AI36" s="539">
        <f t="shared" ref="AI36:AI54" si="44">IF(AND(AP36&gt;I36*0.7,AP36&lt;I36),AP36,I36*0.7)</f>
        <v>2.2236857824760254</v>
      </c>
      <c r="AJ36" s="525">
        <f>SUMPRODUCT(AD36:AG36,'Electrification of Gas End Uses'!$D$4:$G$4)</f>
        <v>2.8346861038359941</v>
      </c>
      <c r="AK36" s="533">
        <f t="shared" ref="AK36:AK38" si="45">SUM(AH36:AI36)</f>
        <v>18.260394553658141</v>
      </c>
      <c r="AL36" s="533">
        <f t="shared" ref="AL36:AL54" si="46">AK36+AJ36</f>
        <v>21.095080657494137</v>
      </c>
      <c r="AN36" s="534">
        <f>SUMPRODUCT(K36:N36,'Electrification of Gas End Uses'!$D$5:$G$5)</f>
        <v>1.1870218827689281</v>
      </c>
      <c r="AO36" s="521">
        <f>SUMPRODUCT(K36:N36,'Electrification of Gas End Uses'!$D$6:$G$6)</f>
        <v>1.8888517633907522</v>
      </c>
      <c r="AP36" s="540">
        <f>(AH$57+IF(AH36&gt;(AH$60),AH36-AH$60,0))*(1+$AH$59)/'Electrification of Gas End Uses'!$D$12</f>
        <v>5.9670035084728461</v>
      </c>
      <c r="AQ36" s="541">
        <f t="shared" ref="AQ36:AQ54" si="47">1-AI36/(I36*(1-$G$3))</f>
        <v>0.12500000000000022</v>
      </c>
    </row>
    <row r="37" spans="1:43" ht="14.25" x14ac:dyDescent="0.2">
      <c r="B37" s="367" t="s">
        <v>440</v>
      </c>
      <c r="C37" s="525">
        <f t="shared" si="27"/>
        <v>13179312</v>
      </c>
      <c r="D37" s="526" t="b">
        <f t="shared" si="28"/>
        <v>1</v>
      </c>
      <c r="E37" s="526" t="str">
        <f t="shared" si="29"/>
        <v>City</v>
      </c>
      <c r="F37" s="617">
        <f t="shared" si="30"/>
        <v>33.280300438994175</v>
      </c>
      <c r="G37" s="531">
        <f>IF(D37,D13,'Typology Baseline - climate adj'!H37*$I$57+'Typology Baseline - climate adj'!I37)</f>
        <v>30.950679408264584</v>
      </c>
      <c r="H37" s="531">
        <f>IF(D37,C13,SUM('Typology Baseline - climate adj'!C37*$K$57*$K$58*G13,'Typology Baseline - climate adj'!$D37*H13,'Typology Baseline - climate adj'!$E37:$F37))</f>
        <v>2.3296210307295908</v>
      </c>
      <c r="I37" s="531">
        <f>'Typology Baseline - climate adj'!H37*$I$57/'Typology Baseline - climate adj'!G37*G37</f>
        <v>3.8671085382927632</v>
      </c>
      <c r="J37" s="531">
        <f t="shared" si="31"/>
        <v>27.083570869971823</v>
      </c>
      <c r="K37" s="531">
        <f>IF(G13,'Typology Baseline - climate adj'!C37*$K$57*$K$58*H37/SUM('Typology Baseline - climate adj'!C37*$K$57*$K$58,'Typology Baseline - climate adj'!$D37:$F37),0)</f>
        <v>0</v>
      </c>
      <c r="L37" s="531">
        <f>IF(H13,($H37-$K37)/SUM('Typology Baseline - climate adj'!$D37:$F37)*'Typology Baseline - climate adj'!D37,0)</f>
        <v>0</v>
      </c>
      <c r="M37" s="531">
        <f>IF('Typology Baseline - climate adj'!E37=0,0,($H37-$K37-$L37)/SUM('Typology Baseline - climate adj'!$E37:$F37)*'Typology Baseline - climate adj'!E37)</f>
        <v>2.3296210307295908</v>
      </c>
      <c r="N37" s="618">
        <f>IF('Typology Baseline - climate adj'!F37=0,0,($H37-$K37-$L37)/SUM('Typology Baseline - climate adj'!$E37:$F37)*'Typology Baseline - climate adj'!F37)</f>
        <v>0</v>
      </c>
      <c r="O37" s="612"/>
      <c r="P37" s="526"/>
      <c r="Q37" s="525">
        <f t="shared" si="32"/>
        <v>0</v>
      </c>
      <c r="R37" s="525">
        <f t="shared" si="33"/>
        <v>0</v>
      </c>
      <c r="S37" s="525">
        <f t="shared" si="34"/>
        <v>2.3296210307295908</v>
      </c>
      <c r="T37" s="525">
        <f t="shared" si="35"/>
        <v>0</v>
      </c>
      <c r="U37" s="526"/>
      <c r="V37" s="525">
        <f t="shared" si="36"/>
        <v>2.3296210307295908</v>
      </c>
      <c r="W37" s="533">
        <f t="shared" si="37"/>
        <v>24.76054352661167</v>
      </c>
      <c r="X37" s="533">
        <f t="shared" si="38"/>
        <v>27.090164557341261</v>
      </c>
      <c r="Y37" s="526"/>
      <c r="Z37" s="525">
        <f>SUMPRODUCT(Q37:T37,'Electrification of Gas End Uses'!$D$4:$G$4)</f>
        <v>1.4192092642859315</v>
      </c>
      <c r="AA37" s="533">
        <f t="shared" si="39"/>
        <v>24.76054352661167</v>
      </c>
      <c r="AB37" s="533">
        <f t="shared" si="40"/>
        <v>26.179752790897602</v>
      </c>
      <c r="AD37" s="525">
        <f t="shared" si="41"/>
        <v>0</v>
      </c>
      <c r="AE37" s="538">
        <f t="shared" si="42"/>
        <v>0</v>
      </c>
      <c r="AF37" s="538">
        <f t="shared" si="42"/>
        <v>2.3296210307295908</v>
      </c>
      <c r="AG37" s="538">
        <f t="shared" si="26"/>
        <v>0</v>
      </c>
      <c r="AH37" s="538">
        <f t="shared" si="43"/>
        <v>21.666856695977458</v>
      </c>
      <c r="AI37" s="539">
        <f t="shared" si="44"/>
        <v>2.7069759768049342</v>
      </c>
      <c r="AJ37" s="525">
        <f>SUMPRODUCT(AD37:AG37,'Electrification of Gas End Uses'!$D$4:$G$4)</f>
        <v>1.4192092642859315</v>
      </c>
      <c r="AK37" s="533">
        <f t="shared" si="45"/>
        <v>24.373832672782392</v>
      </c>
      <c r="AL37" s="533">
        <f t="shared" si="46"/>
        <v>25.793041937068324</v>
      </c>
      <c r="AN37" s="534">
        <f>SUMPRODUCT(K37:N37,'Electrification of Gas End Uses'!$D$5:$G$5)</f>
        <v>1.7659484379908548</v>
      </c>
      <c r="AO37" s="521">
        <f>SUMPRODUCT(K37:N37,'Electrification of Gas End Uses'!$D$6:$G$6)</f>
        <v>1.6837224433799232</v>
      </c>
      <c r="AP37" s="540">
        <f>(AH$57+IF(AH37&gt;(AH$60),AH37-AH$60,0))*(1+$AH$59)/'Electrification of Gas End Uses'!$D$12</f>
        <v>8.2190626783909835</v>
      </c>
      <c r="AQ37" s="541">
        <f t="shared" si="47"/>
        <v>0.125</v>
      </c>
    </row>
    <row r="38" spans="1:43" ht="14.25" x14ac:dyDescent="0.2">
      <c r="B38" s="367" t="s">
        <v>444</v>
      </c>
      <c r="C38" s="525">
        <f t="shared" si="27"/>
        <v>10261521</v>
      </c>
      <c r="D38" s="526" t="b">
        <f t="shared" si="28"/>
        <v>1</v>
      </c>
      <c r="E38" s="526" t="str">
        <f t="shared" si="29"/>
        <v>City</v>
      </c>
      <c r="F38" s="617">
        <f t="shared" si="30"/>
        <v>32.0487443481369</v>
      </c>
      <c r="G38" s="531">
        <f>IF(D38,D14,'Typology Baseline - climate adj'!H38*$I$57+'Typology Baseline - climate adj'!I38)</f>
        <v>31.087282017692793</v>
      </c>
      <c r="H38" s="531">
        <f>IF(D38,C14,SUM('Typology Baseline - climate adj'!C38*$K$57*$K$58*G14,'Typology Baseline - climate adj'!$D38*H14,'Typology Baseline - climate adj'!$E38:$F38))</f>
        <v>0.96146233044410678</v>
      </c>
      <c r="I38" s="531">
        <f>'Typology Baseline - climate adj'!H38*$I$57/'Typology Baseline - climate adj'!G38*G38</f>
        <v>3.5712077715765225</v>
      </c>
      <c r="J38" s="531">
        <f t="shared" si="31"/>
        <v>27.516074246116272</v>
      </c>
      <c r="K38" s="531">
        <f>IF(G14,'Typology Baseline - climate adj'!C38*$K$57*$K$58*H38/SUM('Typology Baseline - climate adj'!C38*$K$57*$K$58,'Typology Baseline - climate adj'!$D38:$F38),0)</f>
        <v>0</v>
      </c>
      <c r="L38" s="531">
        <f>IF(H14,($H38-$K38)/SUM('Typology Baseline - climate adj'!$D38:$F38)*'Typology Baseline - climate adj'!D38,0)</f>
        <v>0</v>
      </c>
      <c r="M38" s="531">
        <f>IF('Typology Baseline - climate adj'!E38=0,0,($H38-$K38-$L38)/SUM('Typology Baseline - climate adj'!$E38:$F38)*'Typology Baseline - climate adj'!E38)</f>
        <v>0.96146233044410678</v>
      </c>
      <c r="N38" s="618">
        <f>IF('Typology Baseline - climate adj'!F38=0,0,($H38-$K38-$L38)/SUM('Typology Baseline - climate adj'!$E38:$F38)*'Typology Baseline - climate adj'!F38)</f>
        <v>0</v>
      </c>
      <c r="O38" s="612"/>
      <c r="P38" s="526"/>
      <c r="Q38" s="525">
        <f t="shared" si="32"/>
        <v>0</v>
      </c>
      <c r="R38" s="525">
        <f t="shared" si="33"/>
        <v>0</v>
      </c>
      <c r="S38" s="525">
        <f t="shared" si="34"/>
        <v>0.96146233044410678</v>
      </c>
      <c r="T38" s="525">
        <f t="shared" si="35"/>
        <v>0</v>
      </c>
      <c r="U38" s="526"/>
      <c r="V38" s="525">
        <f t="shared" si="36"/>
        <v>0.96146233044410678</v>
      </c>
      <c r="W38" s="533">
        <f t="shared" si="37"/>
        <v>24.869825614154237</v>
      </c>
      <c r="X38" s="533">
        <f t="shared" si="38"/>
        <v>25.831287944598344</v>
      </c>
      <c r="Y38" s="526"/>
      <c r="Z38" s="525">
        <f>SUMPRODUCT(Q38:T38,'Electrification of Gas End Uses'!$D$4:$G$4)</f>
        <v>0.58572455718296756</v>
      </c>
      <c r="AA38" s="533">
        <f t="shared" si="39"/>
        <v>24.869825614154237</v>
      </c>
      <c r="AB38" s="533">
        <f t="shared" si="40"/>
        <v>25.455550171337205</v>
      </c>
      <c r="AD38" s="525">
        <f t="shared" si="41"/>
        <v>0</v>
      </c>
      <c r="AE38" s="538">
        <f t="shared" si="42"/>
        <v>0</v>
      </c>
      <c r="AF38" s="538">
        <f t="shared" si="42"/>
        <v>0.96146233044410678</v>
      </c>
      <c r="AG38" s="538">
        <f t="shared" si="26"/>
        <v>0</v>
      </c>
      <c r="AH38" s="538">
        <f t="shared" si="43"/>
        <v>22.01285939689302</v>
      </c>
      <c r="AI38" s="539">
        <f t="shared" si="44"/>
        <v>2.4998454401035657</v>
      </c>
      <c r="AJ38" s="525">
        <f>SUMPRODUCT(AD38:AG38,'Electrification of Gas End Uses'!$D$4:$G$4)</f>
        <v>0.58572455718296756</v>
      </c>
      <c r="AK38" s="533">
        <f t="shared" si="45"/>
        <v>24.512704836996587</v>
      </c>
      <c r="AL38" s="533">
        <f t="shared" si="46"/>
        <v>25.098429394179554</v>
      </c>
      <c r="AN38" s="534">
        <f>SUMPRODUCT(K38:N38,'Electrification of Gas End Uses'!$D$5:$G$5)</f>
        <v>0.72882794164296805</v>
      </c>
      <c r="AO38" s="521">
        <f>SUMPRODUCT(K38:N38,'Electrification of Gas End Uses'!$D$6:$G$6)</f>
        <v>0.6948922948751538</v>
      </c>
      <c r="AP38" s="540">
        <f>(AH$57+IF(AH38&gt;(AH$60),AH38-AH$60,0))*(1+$AH$59)/'Electrification of Gas End Uses'!$D$12</f>
        <v>8.3574637587572091</v>
      </c>
      <c r="AQ38" s="541">
        <f t="shared" si="47"/>
        <v>0.12500000000000011</v>
      </c>
    </row>
    <row r="39" spans="1:43" ht="14.25" x14ac:dyDescent="0.2">
      <c r="B39" s="367" t="str">
        <f>'Typology Baseline - climate adj'!A39</f>
        <v>Education</v>
      </c>
      <c r="C39" s="525">
        <f t="shared" si="27"/>
        <v>24003916</v>
      </c>
      <c r="D39" s="526" t="b">
        <f t="shared" si="28"/>
        <v>1</v>
      </c>
      <c r="E39" s="526" t="str">
        <f t="shared" si="29"/>
        <v>City</v>
      </c>
      <c r="F39" s="617">
        <f t="shared" si="30"/>
        <v>44.33594572123792</v>
      </c>
      <c r="G39" s="531">
        <f>IF(D39,D15,'Typology Baseline - climate adj'!H39*$I$57+'Typology Baseline - climate adj'!I39)</f>
        <v>22.16797286061896</v>
      </c>
      <c r="H39" s="531">
        <f>IF(D39,C15,SUM('Typology Baseline - climate adj'!C39*$K$57*$K$58*G15,'Typology Baseline - climate adj'!$D39*H15,'Typology Baseline - climate adj'!$E39:$F39))</f>
        <v>22.16797286061896</v>
      </c>
      <c r="I39" s="531">
        <f>'Typology Baseline - climate adj'!H39*$I$57/'Typology Baseline - climate adj'!G39*G39</f>
        <v>2.0869820345104992</v>
      </c>
      <c r="J39" s="531">
        <f t="shared" si="31"/>
        <v>20.080990826108462</v>
      </c>
      <c r="K39" s="531">
        <f>IF(G15,'Typology Baseline - climate adj'!C39*$K$57*H39/SUM('Typology Baseline - climate adj'!C39*$K$57,'Typology Baseline - climate adj'!$D39:$F39),0)</f>
        <v>13.645155843094237</v>
      </c>
      <c r="L39" s="531">
        <f>IF(H15,($H39-$K39)/SUM('Typology Baseline - climate adj'!$D39:$F39)*'Typology Baseline - climate adj'!D39,0)</f>
        <v>4.1430360501856294</v>
      </c>
      <c r="M39" s="531">
        <f>IF('Typology Baseline - climate adj'!E39=0,0,($H39-$K39-$L39)/SUM('Typology Baseline - climate adj'!$E39:$F39)*'Typology Baseline - climate adj'!E39)</f>
        <v>1.0653521271905904</v>
      </c>
      <c r="N39" s="618">
        <f>IF('Typology Baseline - climate adj'!F39=0,0,($H39-$K39-$L39)/SUM('Typology Baseline - climate adj'!$E39:$F39)*'Typology Baseline - climate adj'!F39)</f>
        <v>3.3144288401485031</v>
      </c>
      <c r="O39" s="612"/>
      <c r="P39" s="526"/>
      <c r="Q39" s="525">
        <f t="shared" si="32"/>
        <v>9.5516090901659645</v>
      </c>
      <c r="R39" s="525">
        <f t="shared" si="33"/>
        <v>4.1430360501856294</v>
      </c>
      <c r="S39" s="525">
        <f t="shared" si="34"/>
        <v>1.0653521271905904</v>
      </c>
      <c r="T39" s="525">
        <f t="shared" si="35"/>
        <v>3.3144288401485031</v>
      </c>
      <c r="U39" s="525"/>
      <c r="V39" s="525">
        <f t="shared" ref="V39:V54" si="48">SUM(Q39:T39)</f>
        <v>18.074426107690684</v>
      </c>
      <c r="W39" s="533">
        <f t="shared" si="37"/>
        <v>17.734378288495169</v>
      </c>
      <c r="X39" s="533">
        <f>W39+V39</f>
        <v>35.808804396185849</v>
      </c>
      <c r="Y39" s="526"/>
      <c r="Z39" s="525">
        <f>SUMPRODUCT(Q39:T39,'Electrification of Gas End Uses'!$D$4:$G$4)</f>
        <v>8.3353217861240783</v>
      </c>
      <c r="AA39" s="533">
        <f>W39</f>
        <v>17.734378288495169</v>
      </c>
      <c r="AB39" s="533">
        <f>AA39+Z39</f>
        <v>26.069700074619249</v>
      </c>
      <c r="AD39" s="525">
        <f t="shared" ref="AD39:AD54" si="49">IF($AD$59&lt;Q39,$AD$59,Q39)</f>
        <v>9.5516090901659645</v>
      </c>
      <c r="AE39" s="538">
        <f>R39</f>
        <v>4.1430360501856294</v>
      </c>
      <c r="AF39" s="538">
        <f t="shared" si="42"/>
        <v>1.0653521271905904</v>
      </c>
      <c r="AG39" s="538">
        <f t="shared" si="26"/>
        <v>3.3144288401485031</v>
      </c>
      <c r="AH39" s="538">
        <f t="shared" si="43"/>
        <v>16.06479266088677</v>
      </c>
      <c r="AI39" s="539">
        <f t="shared" si="44"/>
        <v>1.4608874241573493</v>
      </c>
      <c r="AJ39" s="525">
        <f>SUMPRODUCT(AD39:AG39,'Electrification of Gas End Uses'!$D$4:$G$4)</f>
        <v>8.3353217861240783</v>
      </c>
      <c r="AK39" s="533">
        <f>SUM(AH39:AI39)</f>
        <v>17.525680085044119</v>
      </c>
      <c r="AL39" s="533">
        <f t="shared" si="46"/>
        <v>25.861001871168199</v>
      </c>
      <c r="AN39" s="534">
        <f>SUMPRODUCT(K39:N39,'Electrification of Gas End Uses'!$D$5:$G$5)</f>
        <v>4.7121233746027826</v>
      </c>
      <c r="AO39" s="521">
        <f>SUMPRODUCT(K39:N39,'Electrification of Gas End Uses'!$D$6:$G$6)</f>
        <v>17.744436005028579</v>
      </c>
      <c r="AP39" s="540">
        <f>(AH$57+IF(AH39&gt;(AH$60),AH39-AH$60,0))*(1+$AH$59)/'Electrification of Gas End Uses'!$D$12</f>
        <v>5.9782370643547074</v>
      </c>
      <c r="AQ39" s="541">
        <f t="shared" si="47"/>
        <v>0.12500000000000022</v>
      </c>
    </row>
    <row r="40" spans="1:43" ht="14.25" x14ac:dyDescent="0.2">
      <c r="B40" s="367" t="str">
        <f>'Typology Baseline - climate adj'!A40</f>
        <v>Food sales</v>
      </c>
      <c r="C40" s="525">
        <f t="shared" si="27"/>
        <v>1907475</v>
      </c>
      <c r="D40" s="526" t="b">
        <f t="shared" si="28"/>
        <v>1</v>
      </c>
      <c r="E40" s="526" t="str">
        <f t="shared" si="29"/>
        <v>City</v>
      </c>
      <c r="F40" s="617">
        <f t="shared" si="30"/>
        <v>216.82316801909468</v>
      </c>
      <c r="G40" s="531">
        <f>IF(D40,D16,'Typology Baseline - climate adj'!H40*$I$57+'Typology Baseline - climate adj'!I40)</f>
        <v>130.09390081145679</v>
      </c>
      <c r="H40" s="531">
        <f>IF(D40,C16,SUM('Typology Baseline - climate adj'!C40*$K$57*$K$58*G16,'Typology Baseline - climate adj'!$D40*H16,'Typology Baseline - climate adj'!$E40:$F40))</f>
        <v>86.729267207637889</v>
      </c>
      <c r="I40" s="531">
        <f>'Typology Baseline - climate adj'!H40*$I$57/'Typology Baseline - climate adj'!G40*G40</f>
        <v>1.7817052858315086</v>
      </c>
      <c r="J40" s="531">
        <f t="shared" si="31"/>
        <v>128.31219552562527</v>
      </c>
      <c r="K40" s="531">
        <f>IF(G16,'Typology Baseline - climate adj'!C40*$K$57*H40/SUM('Typology Baseline - climate adj'!C40*$K$57,'Typology Baseline - climate adj'!$D40:$F40),0)</f>
        <v>43.474045989355005</v>
      </c>
      <c r="L40" s="531">
        <f>IF(H16,($H40-$K40)/SUM('Typology Baseline - climate adj'!$D40:$F40)*'Typology Baseline - climate adj'!D40,0)</f>
        <v>5.1162089613022781</v>
      </c>
      <c r="M40" s="531">
        <f>IF('Typology Baseline - climate adj'!E40=0,0,($H40-$K40-$L40)/SUM('Typology Baseline - climate adj'!$E40:$F40)*'Typology Baseline - climate adj'!E40)</f>
        <v>38.139012256980607</v>
      </c>
      <c r="N40" s="618">
        <f>IF('Typology Baseline - climate adj'!F40=0,0,($H40-$K40-$L40)/SUM('Typology Baseline - climate adj'!$E40:$F40)*'Typology Baseline - climate adj'!F40)</f>
        <v>0</v>
      </c>
      <c r="O40" s="612"/>
      <c r="P40" s="526"/>
      <c r="Q40" s="525">
        <f t="shared" si="32"/>
        <v>30.431832192548502</v>
      </c>
      <c r="R40" s="525">
        <f t="shared" si="33"/>
        <v>5.1162089613022781</v>
      </c>
      <c r="S40" s="525">
        <f t="shared" si="34"/>
        <v>38.139012256980607</v>
      </c>
      <c r="T40" s="525">
        <f t="shared" si="35"/>
        <v>0</v>
      </c>
      <c r="U40" s="525"/>
      <c r="V40" s="525">
        <f t="shared" si="48"/>
        <v>73.687053410831396</v>
      </c>
      <c r="W40" s="533">
        <f t="shared" si="37"/>
        <v>104.07512064916544</v>
      </c>
      <c r="X40" s="533">
        <f t="shared" ref="X40:X54" si="50">W40+V40</f>
        <v>177.76217405999682</v>
      </c>
      <c r="Y40" s="526"/>
      <c r="Z40" s="525">
        <f>SUMPRODUCT(Q40:T40,'Electrification of Gas End Uses'!$D$4:$G$4)</f>
        <v>35.065534795996214</v>
      </c>
      <c r="AA40" s="533">
        <f t="shared" ref="AA40:AA54" si="51">W40</f>
        <v>104.07512064916544</v>
      </c>
      <c r="AB40" s="533">
        <f t="shared" ref="AB40:AB54" si="52">AA40+Z40</f>
        <v>139.14065544516166</v>
      </c>
      <c r="AD40" s="525">
        <f t="shared" si="49"/>
        <v>9.8999999999999986</v>
      </c>
      <c r="AE40" s="538">
        <f t="shared" ref="AE40:AF54" si="53">R40</f>
        <v>5.1162089613022781</v>
      </c>
      <c r="AF40" s="538">
        <f t="shared" si="42"/>
        <v>38.139012256980607</v>
      </c>
      <c r="AG40" s="538">
        <f t="shared" si="26"/>
        <v>0</v>
      </c>
      <c r="AH40" s="538">
        <f t="shared" si="43"/>
        <v>102.64975642050022</v>
      </c>
      <c r="AI40" s="539">
        <f t="shared" si="44"/>
        <v>1.2471937000820559</v>
      </c>
      <c r="AJ40" s="525">
        <f>SUMPRODUCT(AD40:AG40,'Electrification of Gas End Uses'!$D$4:$G$4)</f>
        <v>28.495348494380693</v>
      </c>
      <c r="AK40" s="533">
        <f t="shared" ref="AK40:AK54" si="54">SUM(AH40:AI40)</f>
        <v>103.89695012058228</v>
      </c>
      <c r="AL40" s="533">
        <f t="shared" si="46"/>
        <v>132.39229861496295</v>
      </c>
      <c r="AN40" s="534">
        <f>SUMPRODUCT(K40:N40,'Electrification of Gas End Uses'!$D$5:$G$5)</f>
        <v>33.75535908746329</v>
      </c>
      <c r="AO40" s="521">
        <f>SUMPRODUCT(K40:N40,'Electrification of Gas End Uses'!$D$6:$G$6)</f>
        <v>73.480483303449134</v>
      </c>
      <c r="AP40" s="540">
        <f>(AH$57+IF(AH40&gt;(AH$60),AH40-AH$60,0))*(1+$AH$59)/'Electrification of Gas End Uses'!$D$12</f>
        <v>40.612222568200089</v>
      </c>
      <c r="AQ40" s="541">
        <f t="shared" si="47"/>
        <v>0.12500000000000011</v>
      </c>
    </row>
    <row r="41" spans="1:43" ht="14.25" x14ac:dyDescent="0.2">
      <c r="B41" s="367" t="str">
        <f>'Typology Baseline - climate adj'!A41</f>
        <v>Food service</v>
      </c>
      <c r="C41" s="525">
        <f t="shared" si="27"/>
        <v>410849</v>
      </c>
      <c r="D41" s="526" t="b">
        <f t="shared" si="28"/>
        <v>1</v>
      </c>
      <c r="E41" s="526" t="str">
        <f t="shared" si="29"/>
        <v>City</v>
      </c>
      <c r="F41" s="617">
        <f t="shared" si="30"/>
        <v>138.23899660900298</v>
      </c>
      <c r="G41" s="531">
        <f>IF(D41,D17,'Typology Baseline - climate adj'!H41*$I$57+'Typology Baseline - climate adj'!I41)</f>
        <v>60.825158507961312</v>
      </c>
      <c r="H41" s="531">
        <f>IF(D41,C17,SUM('Typology Baseline - climate adj'!C41*$K$57*$K$58*G17,'Typology Baseline - climate adj'!$D41*H17,'Typology Baseline - climate adj'!$E41:$F41))</f>
        <v>77.413838101041677</v>
      </c>
      <c r="I41" s="531">
        <f>'Typology Baseline - climate adj'!H41*$I$57/'Typology Baseline - climate adj'!G41*G41</f>
        <v>4.6693799046521107</v>
      </c>
      <c r="J41" s="531">
        <f t="shared" si="31"/>
        <v>56.155778603309201</v>
      </c>
      <c r="K41" s="531">
        <f>IF(G17,'Typology Baseline - climate adj'!C41*$K$57*H41/SUM('Typology Baseline - climate adj'!C41*$K$57,'Typology Baseline - climate adj'!$D41:$F41),0)</f>
        <v>12.021237480299241</v>
      </c>
      <c r="L41" s="531">
        <f>IF(H17,($H41-$K41)/SUM('Typology Baseline - climate adj'!$D41:$F41)*'Typology Baseline - climate adj'!D41,0)</f>
        <v>16.05128330828493</v>
      </c>
      <c r="M41" s="531">
        <f>IF('Typology Baseline - climate adj'!E41=0,0,($H41-$K41-$L41)/SUM('Typology Baseline - climate adj'!$E41:$F41)*'Typology Baseline - climate adj'!E41)</f>
        <v>49.341317312457498</v>
      </c>
      <c r="N41" s="618">
        <f>IF('Typology Baseline - climate adj'!F41=0,0,($H41-$K41-$L41)/SUM('Typology Baseline - climate adj'!$E41:$F41)*'Typology Baseline - climate adj'!F41)</f>
        <v>0</v>
      </c>
      <c r="O41" s="612"/>
      <c r="P41" s="526"/>
      <c r="Q41" s="525">
        <f t="shared" si="32"/>
        <v>8.4148662362094679</v>
      </c>
      <c r="R41" s="525">
        <f t="shared" si="33"/>
        <v>16.05128330828493</v>
      </c>
      <c r="S41" s="525">
        <f t="shared" si="34"/>
        <v>49.341317312457498</v>
      </c>
      <c r="T41" s="525">
        <f t="shared" si="35"/>
        <v>0</v>
      </c>
      <c r="U41" s="525"/>
      <c r="V41" s="525">
        <f t="shared" si="48"/>
        <v>73.807466856951891</v>
      </c>
      <c r="W41" s="533">
        <f t="shared" si="37"/>
        <v>48.66012680636905</v>
      </c>
      <c r="X41" s="533">
        <f t="shared" si="50"/>
        <v>122.46759366332094</v>
      </c>
      <c r="Y41" s="526"/>
      <c r="Z41" s="525">
        <f>SUMPRODUCT(Q41:T41,'Electrification of Gas End Uses'!$D$4:$G$4)</f>
        <v>39.318009306399155</v>
      </c>
      <c r="AA41" s="533">
        <f t="shared" si="51"/>
        <v>48.66012680636905</v>
      </c>
      <c r="AB41" s="533">
        <f t="shared" si="52"/>
        <v>87.978136112768198</v>
      </c>
      <c r="AD41" s="525">
        <f t="shared" si="49"/>
        <v>8.4148662362094679</v>
      </c>
      <c r="AE41" s="538">
        <f t="shared" si="53"/>
        <v>16.05128330828493</v>
      </c>
      <c r="AF41" s="538">
        <f t="shared" si="42"/>
        <v>49.341317312457498</v>
      </c>
      <c r="AG41" s="538">
        <f t="shared" si="26"/>
        <v>0</v>
      </c>
      <c r="AH41" s="538">
        <f t="shared" si="43"/>
        <v>44.924622882647363</v>
      </c>
      <c r="AI41" s="539">
        <f t="shared" si="44"/>
        <v>3.2685659332564772</v>
      </c>
      <c r="AJ41" s="525">
        <f>SUMPRODUCT(AD41:AG41,'Electrification of Gas End Uses'!$D$4:$G$4)</f>
        <v>39.318009306399155</v>
      </c>
      <c r="AK41" s="533">
        <f t="shared" si="54"/>
        <v>48.193188815903838</v>
      </c>
      <c r="AL41" s="533">
        <f t="shared" si="46"/>
        <v>87.511198122303</v>
      </c>
      <c r="AN41" s="534">
        <f>SUMPRODUCT(K41:N41,'Electrification of Gas End Uses'!$D$5:$G$5)</f>
        <v>40.261235541915127</v>
      </c>
      <c r="AO41" s="521">
        <f>SUMPRODUCT(K41:N41,'Electrification of Gas End Uses'!$D$6:$G$6)</f>
        <v>51.724781885810735</v>
      </c>
      <c r="AP41" s="540">
        <f>(AH$57+IF(AH41&gt;(AH$60),AH41-AH$60,0))*(1+$AH$59)/'Electrification of Gas End Uses'!$D$12</f>
        <v>17.522169153058947</v>
      </c>
      <c r="AQ41" s="541">
        <f t="shared" si="47"/>
        <v>0.12500000000000022</v>
      </c>
    </row>
    <row r="42" spans="1:43" ht="14.25" x14ac:dyDescent="0.2">
      <c r="B42" s="367" t="str">
        <f>'Typology Baseline - climate adj'!A42</f>
        <v>Health care Inpatient</v>
      </c>
      <c r="C42" s="525">
        <f t="shared" si="27"/>
        <v>1337399</v>
      </c>
      <c r="D42" s="526" t="b">
        <f t="shared" si="28"/>
        <v>0</v>
      </c>
      <c r="E42" s="526" t="str">
        <f t="shared" si="29"/>
        <v>CBECS</v>
      </c>
      <c r="F42" s="617">
        <f t="shared" si="30"/>
        <v>201.46177775064547</v>
      </c>
      <c r="G42" s="531">
        <f>IF(D42,D18,'Typology Baseline - climate adj'!H42*$I$57+'Typology Baseline - climate adj'!I42)</f>
        <v>81.201204819277109</v>
      </c>
      <c r="H42" s="531">
        <f>IF(D42,C18,SUM('Typology Baseline - climate adj'!C42*$K$57*$K$58*G18,'Typology Baseline - climate adj'!$D42*H18,'Typology Baseline - climate adj'!$E42:$F42))</f>
        <v>120.26057293136836</v>
      </c>
      <c r="I42" s="531">
        <f>'Typology Baseline - climate adj'!H42*$I$57/'Typology Baseline - climate adj'!G42*G42</f>
        <v>8.429907517488072</v>
      </c>
      <c r="J42" s="531">
        <f t="shared" si="31"/>
        <v>72.771297301789033</v>
      </c>
      <c r="K42" s="531">
        <f>IF(G18,'Typology Baseline - climate adj'!C42*$K$57*H42/SUM('Typology Baseline - climate adj'!C42*$K$57,'Typology Baseline - climate adj'!$D42:$F42),0)</f>
        <v>55.047895973361655</v>
      </c>
      <c r="L42" s="531">
        <f>IF(H18,($H42-$K42)/SUM('Typology Baseline - climate adj'!$D42:$F42)*'Typology Baseline - climate adj'!D42,0)</f>
        <v>29.470287479046505</v>
      </c>
      <c r="M42" s="531">
        <f>IF('Typology Baseline - climate adj'!E42=0,0,($H42-$K42-$L42)/SUM('Typology Baseline - climate adj'!$E42:$F42)*'Typology Baseline - climate adj'!E42)</f>
        <v>14.262588109392775</v>
      </c>
      <c r="N42" s="618">
        <f>IF('Typology Baseline - climate adj'!F42=0,0,($H42-$K42-$L42)/SUM('Typology Baseline - climate adj'!$E42:$F42)*'Typology Baseline - climate adj'!F42)</f>
        <v>21.479801369567429</v>
      </c>
      <c r="O42" s="612"/>
      <c r="P42" s="526"/>
      <c r="Q42" s="525">
        <f t="shared" si="32"/>
        <v>38.533527181353158</v>
      </c>
      <c r="R42" s="525">
        <f t="shared" si="33"/>
        <v>29.470287479046505</v>
      </c>
      <c r="S42" s="525">
        <f t="shared" si="34"/>
        <v>14.262588109392775</v>
      </c>
      <c r="T42" s="525">
        <f t="shared" si="35"/>
        <v>21.479801369567429</v>
      </c>
      <c r="U42" s="525"/>
      <c r="V42" s="525">
        <f t="shared" si="48"/>
        <v>103.74620413935986</v>
      </c>
      <c r="W42" s="533">
        <f t="shared" si="37"/>
        <v>64.960963855421696</v>
      </c>
      <c r="X42" s="533">
        <f t="shared" si="50"/>
        <v>168.70716799478157</v>
      </c>
      <c r="Y42" s="526"/>
      <c r="Z42" s="525">
        <f>SUMPRODUCT(Q42:T42,'Electrification of Gas End Uses'!$D$4:$G$4)</f>
        <v>52.095831498517029</v>
      </c>
      <c r="AA42" s="533">
        <f t="shared" si="51"/>
        <v>64.960963855421696</v>
      </c>
      <c r="AB42" s="533">
        <f t="shared" si="52"/>
        <v>117.05679535393872</v>
      </c>
      <c r="AD42" s="525">
        <f t="shared" si="49"/>
        <v>9.8999999999999986</v>
      </c>
      <c r="AE42" s="538">
        <f t="shared" si="53"/>
        <v>29.470287479046505</v>
      </c>
      <c r="AF42" s="538">
        <f t="shared" si="42"/>
        <v>14.262588109392775</v>
      </c>
      <c r="AG42" s="538">
        <f t="shared" si="26"/>
        <v>21.479801369567429</v>
      </c>
      <c r="AH42" s="538">
        <f t="shared" si="43"/>
        <v>58.217037841431228</v>
      </c>
      <c r="AI42" s="539">
        <f t="shared" si="44"/>
        <v>5.9009352622416502</v>
      </c>
      <c r="AJ42" s="525">
        <f>SUMPRODUCT(AD42:AG42,'Electrification of Gas End Uses'!$D$4:$G$4)</f>
        <v>42.933102800484015</v>
      </c>
      <c r="AK42" s="533">
        <f t="shared" si="54"/>
        <v>64.117973103672881</v>
      </c>
      <c r="AL42" s="533">
        <f t="shared" si="46"/>
        <v>107.0510759041569</v>
      </c>
      <c r="AN42" s="534">
        <f>SUMPRODUCT(K42:N42,'Electrification of Gas End Uses'!$D$5:$G$5)</f>
        <v>33.075558536468264</v>
      </c>
      <c r="AO42" s="521">
        <f>SUMPRODUCT(K42:N42,'Electrification of Gas End Uses'!$D$6:$G$6)</f>
        <v>86.564086427615251</v>
      </c>
      <c r="AP42" s="540">
        <f>(AH$57+IF(AH42&gt;(AH$60),AH42-AH$60,0))*(1+$AH$59)/'Electrification of Gas End Uses'!$D$12</f>
        <v>22.839135136572491</v>
      </c>
      <c r="AQ42" s="541">
        <f t="shared" si="47"/>
        <v>0.125</v>
      </c>
    </row>
    <row r="43" spans="1:43" ht="14.25" x14ac:dyDescent="0.2">
      <c r="B43" s="367" t="str">
        <f>'Typology Baseline - climate adj'!A43</f>
        <v>Health care Outpatient</v>
      </c>
      <c r="C43" s="525">
        <f t="shared" si="27"/>
        <v>4176747</v>
      </c>
      <c r="D43" s="526" t="b">
        <f t="shared" si="28"/>
        <v>1</v>
      </c>
      <c r="E43" s="526" t="str">
        <f t="shared" si="29"/>
        <v>City</v>
      </c>
      <c r="F43" s="617">
        <f t="shared" si="30"/>
        <v>75.093114763602443</v>
      </c>
      <c r="G43" s="531">
        <f>IF(D43,D19,'Typology Baseline - climate adj'!H43*$I$57+'Typology Baseline - climate adj'!I43)</f>
        <v>63.829147549062078</v>
      </c>
      <c r="H43" s="531">
        <f>IF(D43,C19,SUM('Typology Baseline - climate adj'!C43*$K$57*$K$58*G19,'Typology Baseline - climate adj'!$D43*H19,'Typology Baseline - climate adj'!$E43:$F43))</f>
        <v>11.263967214540365</v>
      </c>
      <c r="I43" s="531">
        <f>'Typology Baseline - climate adj'!H43*$I$57/'Typology Baseline - climate adj'!G43*G43</f>
        <v>2.6559274707019469</v>
      </c>
      <c r="J43" s="531">
        <f t="shared" si="31"/>
        <v>61.173220078360131</v>
      </c>
      <c r="K43" s="531">
        <f>IF(G19,'Typology Baseline - climate adj'!C43*$K$57*H43/SUM('Typology Baseline - climate adj'!C43*$K$57,'Typology Baseline - climate adj'!$D43:$F43),0)</f>
        <v>10.097541874402637</v>
      </c>
      <c r="L43" s="531">
        <f>IF(H19,($H43-$K43)/SUM('Typology Baseline - climate adj'!$D43:$F43)*'Typology Baseline - climate adj'!D43,0)</f>
        <v>1.166425340137728</v>
      </c>
      <c r="M43" s="531">
        <f>IF('Typology Baseline - climate adj'!E43=0,0,($H43-$K43-$L43)/SUM('Typology Baseline - climate adj'!$E43:$F43)*'Typology Baseline - climate adj'!E43)</f>
        <v>0</v>
      </c>
      <c r="N43" s="618">
        <f>IF('Typology Baseline - climate adj'!F43=0,0,($H43-$K43-$L43)/SUM('Typology Baseline - climate adj'!$E43:$F43)*'Typology Baseline - climate adj'!F43)</f>
        <v>0</v>
      </c>
      <c r="O43" s="612"/>
      <c r="P43" s="526"/>
      <c r="Q43" s="525">
        <f t="shared" si="32"/>
        <v>7.0682793120818452</v>
      </c>
      <c r="R43" s="525">
        <f t="shared" si="33"/>
        <v>1.166425340137728</v>
      </c>
      <c r="S43" s="525">
        <f t="shared" si="34"/>
        <v>0</v>
      </c>
      <c r="T43" s="525">
        <f t="shared" si="35"/>
        <v>0</v>
      </c>
      <c r="U43" s="525"/>
      <c r="V43" s="525">
        <f t="shared" si="48"/>
        <v>8.2347046522195733</v>
      </c>
      <c r="W43" s="533">
        <f t="shared" si="37"/>
        <v>51.063318039249666</v>
      </c>
      <c r="X43" s="533">
        <f t="shared" si="50"/>
        <v>59.298022691469242</v>
      </c>
      <c r="Y43" s="526"/>
      <c r="Z43" s="525">
        <f>SUMPRODUCT(Q43:T43,'Electrification of Gas End Uses'!$D$4:$G$4)</f>
        <v>2.7390233826498065</v>
      </c>
      <c r="AA43" s="533">
        <f t="shared" si="51"/>
        <v>51.063318039249666</v>
      </c>
      <c r="AB43" s="533">
        <f t="shared" si="52"/>
        <v>53.80234142189947</v>
      </c>
      <c r="AD43" s="525">
        <f t="shared" si="49"/>
        <v>7.0682793120818452</v>
      </c>
      <c r="AE43" s="538">
        <f t="shared" si="53"/>
        <v>1.166425340137728</v>
      </c>
      <c r="AF43" s="538">
        <f t="shared" si="42"/>
        <v>0</v>
      </c>
      <c r="AG43" s="538">
        <f t="shared" si="26"/>
        <v>0</v>
      </c>
      <c r="AH43" s="538">
        <f t="shared" si="43"/>
        <v>48.938576062688107</v>
      </c>
      <c r="AI43" s="539">
        <f t="shared" si="44"/>
        <v>1.8591492294913627</v>
      </c>
      <c r="AJ43" s="525">
        <f>SUMPRODUCT(AD43:AG43,'Electrification of Gas End Uses'!$D$4:$G$4)</f>
        <v>2.7390233826498065</v>
      </c>
      <c r="AK43" s="533">
        <f t="shared" si="54"/>
        <v>50.797725292179472</v>
      </c>
      <c r="AL43" s="533">
        <f t="shared" si="46"/>
        <v>53.536748674829276</v>
      </c>
      <c r="AN43" s="534">
        <f>SUMPRODUCT(K43:N43,'Electrification of Gas End Uses'!$D$5:$G$5)</f>
        <v>1.1229219283831744</v>
      </c>
      <c r="AO43" s="521">
        <f>SUMPRODUCT(K43:N43,'Electrification of Gas End Uses'!$D$6:$G$6)</f>
        <v>10.659616604788237</v>
      </c>
      <c r="AP43" s="540">
        <f>(AH$57+IF(AH43&gt;(AH$60),AH43-AH$60,0))*(1+$AH$59)/'Electrification of Gas End Uses'!$D$12</f>
        <v>19.127750425075241</v>
      </c>
      <c r="AQ43" s="541">
        <f t="shared" si="47"/>
        <v>0.12500000000000011</v>
      </c>
    </row>
    <row r="44" spans="1:43" ht="14.25" x14ac:dyDescent="0.2">
      <c r="B44" s="367" t="str">
        <f>'Typology Baseline - climate adj'!A44</f>
        <v>Lodging</v>
      </c>
      <c r="C44" s="525">
        <f t="shared" si="27"/>
        <v>14454731</v>
      </c>
      <c r="D44" s="526" t="b">
        <f t="shared" si="28"/>
        <v>1</v>
      </c>
      <c r="E44" s="526" t="str">
        <f t="shared" si="29"/>
        <v>City</v>
      </c>
      <c r="F44" s="617">
        <f t="shared" si="30"/>
        <v>68.32526806959703</v>
      </c>
      <c r="G44" s="531">
        <f>IF(D44,D20,'Typology Baseline - climate adj'!H44*$I$57+'Typology Baseline - climate adj'!I44)</f>
        <v>33.821007694450529</v>
      </c>
      <c r="H44" s="531">
        <f>IF(D44,C20,SUM('Typology Baseline - climate adj'!C44*$K$57*$K$58*G20,'Typology Baseline - climate adj'!$D44*H20,'Typology Baseline - climate adj'!$E44:$F44))</f>
        <v>34.504260375146501</v>
      </c>
      <c r="I44" s="531">
        <f>'Typology Baseline - climate adj'!H44*$I$57/'Typology Baseline - climate adj'!G44*G44</f>
        <v>2.2034212955777672</v>
      </c>
      <c r="J44" s="531">
        <f t="shared" si="31"/>
        <v>31.61758639887276</v>
      </c>
      <c r="K44" s="531">
        <f>IF(G20,'Typology Baseline - climate adj'!C44*$K$57*H44/SUM('Typology Baseline - climate adj'!C44*$K$57,'Typology Baseline - climate adj'!$D44:$F44),0)</f>
        <v>9.4695469140322448</v>
      </c>
      <c r="L44" s="531">
        <f>IF(H20,($H44-$K44)/SUM('Typology Baseline - climate adj'!$D44:$F44)*'Typology Baseline - climate adj'!D44,0)</f>
        <v>20.04289748397365</v>
      </c>
      <c r="M44" s="531">
        <f>IF('Typology Baseline - climate adj'!E44=0,0,($H44-$K44-$L44)/SUM('Typology Baseline - climate adj'!$E44:$F44)*'Typology Baseline - climate adj'!E44)</f>
        <v>0</v>
      </c>
      <c r="N44" s="618">
        <f>IF('Typology Baseline - climate adj'!F44=0,0,($H44-$K44-$L44)/SUM('Typology Baseline - climate adj'!$E44:$F44)*'Typology Baseline - climate adj'!F44)</f>
        <v>4.9918159771406074</v>
      </c>
      <c r="O44" s="612"/>
      <c r="P44" s="526"/>
      <c r="Q44" s="525">
        <f t="shared" si="32"/>
        <v>6.628682839822571</v>
      </c>
      <c r="R44" s="525">
        <f t="shared" si="33"/>
        <v>20.04289748397365</v>
      </c>
      <c r="S44" s="525">
        <f t="shared" si="34"/>
        <v>0</v>
      </c>
      <c r="T44" s="525">
        <f t="shared" si="35"/>
        <v>4.9918159771406074</v>
      </c>
      <c r="U44" s="525"/>
      <c r="V44" s="525">
        <f t="shared" si="48"/>
        <v>31.663396300936828</v>
      </c>
      <c r="W44" s="533">
        <f t="shared" si="37"/>
        <v>27.056806155560423</v>
      </c>
      <c r="X44" s="533">
        <f t="shared" si="50"/>
        <v>58.720202456497248</v>
      </c>
      <c r="Y44" s="526"/>
      <c r="Z44" s="525">
        <f>SUMPRODUCT(Q44:T44,'Electrification of Gas End Uses'!$D$4:$G$4)</f>
        <v>14.740779656303168</v>
      </c>
      <c r="AA44" s="533">
        <f t="shared" si="51"/>
        <v>27.056806155560423</v>
      </c>
      <c r="AB44" s="533">
        <f t="shared" si="52"/>
        <v>41.797585811863591</v>
      </c>
      <c r="AD44" s="525">
        <f t="shared" si="49"/>
        <v>6.628682839822571</v>
      </c>
      <c r="AE44" s="538">
        <f t="shared" si="53"/>
        <v>20.04289748397365</v>
      </c>
      <c r="AF44" s="538">
        <f t="shared" si="42"/>
        <v>0</v>
      </c>
      <c r="AG44" s="538">
        <f t="shared" si="26"/>
        <v>4.9918159771406074</v>
      </c>
      <c r="AH44" s="538">
        <f t="shared" si="43"/>
        <v>25.294069119098211</v>
      </c>
      <c r="AI44" s="539">
        <f t="shared" si="44"/>
        <v>1.5423949069044369</v>
      </c>
      <c r="AJ44" s="525">
        <f>SUMPRODUCT(AD44:AG44,'Electrification of Gas End Uses'!$D$4:$G$4)</f>
        <v>14.740779656303168</v>
      </c>
      <c r="AK44" s="533">
        <f t="shared" si="54"/>
        <v>26.836464026002648</v>
      </c>
      <c r="AL44" s="533">
        <f t="shared" si="46"/>
        <v>41.57724368230582</v>
      </c>
      <c r="AN44" s="534">
        <f>SUMPRODUCT(K44:N44,'Electrification of Gas End Uses'!$D$5:$G$5)</f>
        <v>6.2135439624334676</v>
      </c>
      <c r="AO44" s="521">
        <f>SUMPRODUCT(K44:N44,'Electrification of Gas End Uses'!$D$6:$G$6)</f>
        <v>17.336866453664946</v>
      </c>
      <c r="AP44" s="540">
        <f>(AH$57+IF(AH44&gt;(AH$60),AH44-AH$60,0))*(1+$AH$59)/'Electrification of Gas End Uses'!$D$12</f>
        <v>9.6699476476392849</v>
      </c>
      <c r="AQ44" s="541">
        <f t="shared" si="47"/>
        <v>0.12500000000000011</v>
      </c>
    </row>
    <row r="45" spans="1:43" ht="14.25" x14ac:dyDescent="0.2">
      <c r="B45" s="367" t="str">
        <f>'Typology Baseline - climate adj'!A45</f>
        <v>Mercantile Enclosed and strip malls</v>
      </c>
      <c r="C45" s="525">
        <f t="shared" si="27"/>
        <v>1839008</v>
      </c>
      <c r="D45" s="526" t="b">
        <f t="shared" si="28"/>
        <v>1</v>
      </c>
      <c r="E45" s="526" t="str">
        <f t="shared" si="29"/>
        <v>City</v>
      </c>
      <c r="F45" s="617">
        <f t="shared" si="30"/>
        <v>64.131162989217998</v>
      </c>
      <c r="G45" s="531">
        <f>IF(D45,D21,'Typology Baseline - climate adj'!H45*$I$57+'Typology Baseline - climate adj'!I45)</f>
        <v>41.043944313099523</v>
      </c>
      <c r="H45" s="531">
        <f>IF(D45,C21,SUM('Typology Baseline - climate adj'!C45*$K$57*$K$58*G21,'Typology Baseline - climate adj'!$D45*H21,'Typology Baseline - climate adj'!$E45:$F45))</f>
        <v>23.087218676118475</v>
      </c>
      <c r="I45" s="531">
        <f>'Typology Baseline - climate adj'!H46*$I$57/'Typology Baseline - climate adj'!G46*G45</f>
        <v>2.4847872291511011</v>
      </c>
      <c r="J45" s="531">
        <f t="shared" si="31"/>
        <v>38.559157083948421</v>
      </c>
      <c r="K45" s="531">
        <f>IF(G21,'Typology Baseline - climate adj'!C45*$K$57*H45/SUM('Typology Baseline - climate adj'!C45*$K$57,'Typology Baseline - climate adj'!$D45:$F45),0)</f>
        <v>7.9405979503371347</v>
      </c>
      <c r="L45" s="531">
        <f>IF(H21,($H45-$K45)/SUM('Typology Baseline - climate adj'!$D45:$F45)*'Typology Baseline - climate adj'!D45,0)</f>
        <v>5.8672349514702438</v>
      </c>
      <c r="M45" s="531">
        <f>IF('Typology Baseline - climate adj'!E45=0,0,($H45-$K45-$L45)/SUM('Typology Baseline - climate adj'!$E45:$F45)*'Typology Baseline - climate adj'!E45)</f>
        <v>6.4081856916767199</v>
      </c>
      <c r="N45" s="618">
        <f>IF('Typology Baseline - climate adj'!F45=0,0,($H45-$K45-$L45)/SUM('Typology Baseline - climate adj'!$E45:$F45)*'Typology Baseline - climate adj'!F45)</f>
        <v>2.8712000826343744</v>
      </c>
      <c r="O45" s="612"/>
      <c r="P45" s="526"/>
      <c r="Q45" s="525">
        <f t="shared" si="32"/>
        <v>5.5584185652359936</v>
      </c>
      <c r="R45" s="525">
        <f t="shared" si="33"/>
        <v>5.8672349514702438</v>
      </c>
      <c r="S45" s="525">
        <f t="shared" si="34"/>
        <v>6.4081856916767199</v>
      </c>
      <c r="T45" s="525">
        <f t="shared" si="35"/>
        <v>2.8712000826343744</v>
      </c>
      <c r="U45" s="525"/>
      <c r="V45" s="525">
        <f t="shared" si="48"/>
        <v>20.705039291017332</v>
      </c>
      <c r="W45" s="533">
        <f t="shared" si="37"/>
        <v>32.835155450479618</v>
      </c>
      <c r="X45" s="533">
        <f t="shared" si="50"/>
        <v>53.540194741496947</v>
      </c>
      <c r="Y45" s="526"/>
      <c r="Z45" s="525">
        <f>SUMPRODUCT(Q45:T45,'Electrification of Gas End Uses'!$D$4:$G$4)</f>
        <v>10.625241225855653</v>
      </c>
      <c r="AA45" s="533">
        <f t="shared" si="51"/>
        <v>32.835155450479618</v>
      </c>
      <c r="AB45" s="533">
        <f t="shared" si="52"/>
        <v>43.460396676335272</v>
      </c>
      <c r="AD45" s="525">
        <f t="shared" si="49"/>
        <v>5.5584185652359936</v>
      </c>
      <c r="AE45" s="538">
        <f t="shared" si="53"/>
        <v>5.8672349514702438</v>
      </c>
      <c r="AF45" s="538">
        <f t="shared" si="42"/>
        <v>6.4081856916767199</v>
      </c>
      <c r="AG45" s="538">
        <f t="shared" si="26"/>
        <v>2.8712000826343744</v>
      </c>
      <c r="AH45" s="538">
        <f t="shared" si="43"/>
        <v>30.847325667158739</v>
      </c>
      <c r="AI45" s="539">
        <f t="shared" si="44"/>
        <v>1.7393510604057707</v>
      </c>
      <c r="AJ45" s="525">
        <f>SUMPRODUCT(AD45:AG45,'Electrification of Gas End Uses'!$D$4:$G$4)</f>
        <v>10.625241225855653</v>
      </c>
      <c r="AK45" s="533">
        <f t="shared" si="54"/>
        <v>32.586676727564509</v>
      </c>
      <c r="AL45" s="533">
        <f t="shared" si="46"/>
        <v>43.211917953420162</v>
      </c>
      <c r="AN45" s="534">
        <f>SUMPRODUCT(K45:N45,'Electrification of Gas End Uses'!$D$5:$G$5)</f>
        <v>8.0915397902525701</v>
      </c>
      <c r="AO45" s="521">
        <f>SUMPRODUCT(K45:N45,'Electrification of Gas End Uses'!$D$6:$G$6)</f>
        <v>15.867419690223464</v>
      </c>
      <c r="AP45" s="540">
        <f>(AH$57+IF(AH45&gt;(AH$60),AH45-AH$60,0))*(1+$AH$59)/'Electrification of Gas End Uses'!$D$12</f>
        <v>11.891250266863494</v>
      </c>
      <c r="AQ45" s="541">
        <f t="shared" si="47"/>
        <v>0.125</v>
      </c>
    </row>
    <row r="46" spans="1:43" ht="14.25" x14ac:dyDescent="0.2">
      <c r="B46" s="367" t="str">
        <f>'Typology Baseline - climate adj'!A46</f>
        <v>Mercantile Retail (other than mall)</v>
      </c>
      <c r="C46" s="525">
        <f t="shared" si="27"/>
        <v>6165819</v>
      </c>
      <c r="D46" s="526" t="b">
        <f t="shared" si="28"/>
        <v>1</v>
      </c>
      <c r="E46" s="526" t="str">
        <f t="shared" si="29"/>
        <v>City</v>
      </c>
      <c r="F46" s="617">
        <f t="shared" si="30"/>
        <v>58.255225834788732</v>
      </c>
      <c r="G46" s="531">
        <f>IF(D46,D22,'Typology Baseline - climate adj'!H46*$I$57+'Typology Baseline - climate adj'!I46)</f>
        <v>40.778658084352116</v>
      </c>
      <c r="H46" s="531">
        <f>IF(D46,C22,SUM('Typology Baseline - climate adj'!C46*$K$57*$K$58*G22,'Typology Baseline - climate adj'!$D46*H22,'Typology Baseline - climate adj'!$E46:$F46))</f>
        <v>17.476567750436615</v>
      </c>
      <c r="I46" s="531">
        <f>'Typology Baseline - climate adj'!H45*$I$57/'Typology Baseline - climate adj'!G45*G46</f>
        <v>2.0375942858125087</v>
      </c>
      <c r="J46" s="531">
        <f t="shared" si="31"/>
        <v>38.741063798539606</v>
      </c>
      <c r="K46" s="531">
        <f>IF(G22,'Typology Baseline - climate adj'!C46*$K$57*H46/SUM('Typology Baseline - climate adj'!C46*$K$57,'Typology Baseline - climate adj'!$D46:$F46),0)</f>
        <v>11.80692845557981</v>
      </c>
      <c r="L46" s="531">
        <f>IF(H22,($H46-$K46)/SUM('Typology Baseline - climate adj'!$D46:$F46)*'Typology Baseline - climate adj'!D46,0)</f>
        <v>1.6675409690755312</v>
      </c>
      <c r="M46" s="531">
        <f>IF('Typology Baseline - climate adj'!E46=0,0,($H46-$K46-$L46)/SUM('Typology Baseline - climate adj'!$E46:$F46)*'Typology Baseline - climate adj'!E46)</f>
        <v>4.0020983257812741</v>
      </c>
      <c r="N46" s="618">
        <f>IF('Typology Baseline - climate adj'!F46=0,0,($H46-$K46-$L46)/SUM('Typology Baseline - climate adj'!$E46:$F46)*'Typology Baseline - climate adj'!F46)</f>
        <v>0</v>
      </c>
      <c r="O46" s="612"/>
      <c r="P46" s="526"/>
      <c r="Q46" s="525">
        <f t="shared" si="32"/>
        <v>8.2648499189058668</v>
      </c>
      <c r="R46" s="525">
        <f t="shared" si="33"/>
        <v>1.6675409690755312</v>
      </c>
      <c r="S46" s="525">
        <f t="shared" si="34"/>
        <v>4.0020983257812741</v>
      </c>
      <c r="T46" s="525">
        <f t="shared" si="35"/>
        <v>0</v>
      </c>
      <c r="U46" s="525"/>
      <c r="V46" s="525">
        <f t="shared" si="48"/>
        <v>13.934489213762673</v>
      </c>
      <c r="W46" s="533">
        <f t="shared" si="37"/>
        <v>32.622926467481697</v>
      </c>
      <c r="X46" s="533">
        <f t="shared" si="50"/>
        <v>46.557415681244372</v>
      </c>
      <c r="Y46" s="526"/>
      <c r="Z46" s="525">
        <f>SUMPRODUCT(Q46:T46,'Electrification of Gas End Uses'!$D$4:$G$4)</f>
        <v>5.7650132241670411</v>
      </c>
      <c r="AA46" s="533">
        <f t="shared" si="51"/>
        <v>32.622926467481697</v>
      </c>
      <c r="AB46" s="533">
        <f t="shared" si="52"/>
        <v>38.387939691648739</v>
      </c>
      <c r="AD46" s="525">
        <f t="shared" si="49"/>
        <v>8.2648499189058668</v>
      </c>
      <c r="AE46" s="538">
        <f t="shared" si="53"/>
        <v>1.6675409690755312</v>
      </c>
      <c r="AF46" s="538">
        <f t="shared" si="42"/>
        <v>4.0020983257812741</v>
      </c>
      <c r="AG46" s="538">
        <f t="shared" si="26"/>
        <v>0</v>
      </c>
      <c r="AH46" s="538">
        <f t="shared" si="43"/>
        <v>30.992851038831688</v>
      </c>
      <c r="AI46" s="539">
        <f t="shared" si="44"/>
        <v>1.426316000068756</v>
      </c>
      <c r="AJ46" s="525">
        <f>SUMPRODUCT(AD46:AG46,'Electrification of Gas End Uses'!$D$4:$G$4)</f>
        <v>5.7650132241670411</v>
      </c>
      <c r="AK46" s="533">
        <f t="shared" si="54"/>
        <v>32.419167038900447</v>
      </c>
      <c r="AL46" s="533">
        <f t="shared" si="46"/>
        <v>38.184180263067489</v>
      </c>
      <c r="AN46" s="534">
        <f>SUMPRODUCT(K46:N46,'Electrification of Gas End Uses'!$D$5:$G$5)</f>
        <v>4.3782856211245225</v>
      </c>
      <c r="AO46" s="521">
        <f>SUMPRODUCT(K46:N46,'Electrification of Gas End Uses'!$D$6:$G$6)</f>
        <v>15.426509444170289</v>
      </c>
      <c r="AP46" s="540">
        <f>(AH$57+IF(AH46&gt;(AH$60),AH46-AH$60,0))*(1+$AH$59)/'Electrification of Gas End Uses'!$D$12</f>
        <v>11.949460415532675</v>
      </c>
      <c r="AQ46" s="541">
        <f t="shared" si="47"/>
        <v>0.125</v>
      </c>
    </row>
    <row r="47" spans="1:43" ht="14.25" x14ac:dyDescent="0.2">
      <c r="B47" s="367" t="str">
        <f>'Typology Baseline - climate adj'!A47</f>
        <v>Office</v>
      </c>
      <c r="C47" s="525">
        <f t="shared" si="27"/>
        <v>54225910</v>
      </c>
      <c r="D47" s="526" t="b">
        <f t="shared" si="28"/>
        <v>1</v>
      </c>
      <c r="E47" s="526" t="str">
        <f t="shared" si="29"/>
        <v>City</v>
      </c>
      <c r="F47" s="617">
        <f t="shared" si="30"/>
        <v>51.697906082637225</v>
      </c>
      <c r="G47" s="531">
        <f>IF(D47,D23,'Typology Baseline - climate adj'!H47*$I$57+'Typology Baseline - climate adj'!I47)</f>
        <v>49.11301077850537</v>
      </c>
      <c r="H47" s="531">
        <f>IF(D47,C23,SUM('Typology Baseline - climate adj'!C47*$K$57*$K$58*G23,'Typology Baseline - climate adj'!$D47*H23,'Typology Baseline - climate adj'!$E47:$F47))</f>
        <v>2.5848953041318552</v>
      </c>
      <c r="I47" s="531">
        <f>'Typology Baseline - climate adj'!H47*$I$57/'Typology Baseline - climate adj'!G47*G47</f>
        <v>2.7997478367944546</v>
      </c>
      <c r="J47" s="531">
        <f t="shared" si="31"/>
        <v>46.313262941710917</v>
      </c>
      <c r="K47" s="531">
        <f>IF(G23,'Typology Baseline - climate adj'!C47*$K$57*H47/SUM('Typology Baseline - climate adj'!C47*$K$57,'Typology Baseline - climate adj'!$D47:$F47),0)</f>
        <v>0</v>
      </c>
      <c r="L47" s="531">
        <f>IF(H23,($H47-$K47)/SUM('Typology Baseline - climate adj'!$D47:$F47)*'Typology Baseline - climate adj'!D47,0)</f>
        <v>0.87376742674879615</v>
      </c>
      <c r="M47" s="531">
        <f>IF('Typology Baseline - climate adj'!E47=0,0,($H47-$K47-$L47)/SUM('Typology Baseline - climate adj'!$E47:$F47)*'Typology Baseline - climate adj'!E47)</f>
        <v>0</v>
      </c>
      <c r="N47" s="618">
        <f>IF('Typology Baseline - climate adj'!F47=0,0,($H47-$K47-$L47)/SUM('Typology Baseline - climate adj'!$E47:$F47)*'Typology Baseline - climate adj'!F47)</f>
        <v>1.7111278773830589</v>
      </c>
      <c r="O47" s="612"/>
      <c r="P47" s="526"/>
      <c r="Q47" s="525">
        <f t="shared" si="32"/>
        <v>0</v>
      </c>
      <c r="R47" s="525">
        <f t="shared" si="33"/>
        <v>0.87376742674879615</v>
      </c>
      <c r="S47" s="525">
        <f t="shared" si="34"/>
        <v>0</v>
      </c>
      <c r="T47" s="525">
        <f t="shared" si="35"/>
        <v>1.7111278773830589</v>
      </c>
      <c r="U47" s="525"/>
      <c r="V47" s="525">
        <f t="shared" si="48"/>
        <v>2.5848953041318552</v>
      </c>
      <c r="W47" s="533">
        <f t="shared" si="37"/>
        <v>39.2904086228043</v>
      </c>
      <c r="X47" s="533">
        <f t="shared" si="50"/>
        <v>41.875303926936155</v>
      </c>
      <c r="Y47" s="526"/>
      <c r="Z47" s="525">
        <f>SUMPRODUCT(Q47:T47,'Electrification of Gas End Uses'!$D$4:$G$4)</f>
        <v>1.8726475153429551</v>
      </c>
      <c r="AA47" s="533">
        <f t="shared" si="51"/>
        <v>39.2904086228043</v>
      </c>
      <c r="AB47" s="533">
        <f t="shared" si="52"/>
        <v>41.163056138147255</v>
      </c>
      <c r="AD47" s="525">
        <f t="shared" si="49"/>
        <v>0</v>
      </c>
      <c r="AE47" s="538">
        <f t="shared" si="53"/>
        <v>0.87376742674879615</v>
      </c>
      <c r="AF47" s="538">
        <f t="shared" si="42"/>
        <v>0</v>
      </c>
      <c r="AG47" s="538">
        <f t="shared" si="26"/>
        <v>1.7111278773830589</v>
      </c>
      <c r="AH47" s="538">
        <f t="shared" si="43"/>
        <v>37.050610353368732</v>
      </c>
      <c r="AI47" s="539">
        <f t="shared" si="44"/>
        <v>1.9598234857561181</v>
      </c>
      <c r="AJ47" s="525">
        <f>SUMPRODUCT(AD47:AG47,'Electrification of Gas End Uses'!$D$4:$G$4)</f>
        <v>1.8726475153429551</v>
      </c>
      <c r="AK47" s="533">
        <f t="shared" si="54"/>
        <v>39.01043383912485</v>
      </c>
      <c r="AL47" s="533">
        <f t="shared" si="46"/>
        <v>40.883081354467805</v>
      </c>
      <c r="AN47" s="534">
        <f>SUMPRODUCT(K47:N47,'Electrification of Gas End Uses'!$D$5:$G$5)</f>
        <v>1.1855356058063047</v>
      </c>
      <c r="AO47" s="521">
        <f>SUMPRODUCT(K47:N47,'Electrification of Gas End Uses'!$D$6:$G$6)</f>
        <v>1.2228326892812522</v>
      </c>
      <c r="AP47" s="540">
        <f>(AH$57+IF(AH47&gt;(AH$60),AH47-AH$60,0))*(1+$AH$59)/'Electrification of Gas End Uses'!$D$12</f>
        <v>14.372564141347492</v>
      </c>
      <c r="AQ47" s="541">
        <f t="shared" si="47"/>
        <v>0.125</v>
      </c>
    </row>
    <row r="48" spans="1:43" ht="14.25" x14ac:dyDescent="0.2">
      <c r="B48" s="367" t="str">
        <f>'Typology Baseline - climate adj'!A48</f>
        <v>Other</v>
      </c>
      <c r="C48" s="525">
        <f t="shared" si="27"/>
        <v>12323030</v>
      </c>
      <c r="D48" s="526" t="b">
        <f t="shared" si="28"/>
        <v>1</v>
      </c>
      <c r="E48" s="526" t="str">
        <f t="shared" si="29"/>
        <v>City</v>
      </c>
      <c r="F48" s="617">
        <f t="shared" si="30"/>
        <v>62.343561310502778</v>
      </c>
      <c r="G48" s="531">
        <f>IF(D48,D24,'Typology Baseline - climate adj'!H48*$I$57+'Typology Baseline - climate adj'!I48)</f>
        <v>39.27644362561675</v>
      </c>
      <c r="H48" s="531">
        <f>IF(D48,C24,SUM('Typology Baseline - climate adj'!C48*$K$57*$K$58*G24,'Typology Baseline - climate adj'!$D48*H24,'Typology Baseline - climate adj'!$E48:$F48))</f>
        <v>23.067117684886028</v>
      </c>
      <c r="I48" s="531">
        <f>'Typology Baseline - climate adj'!H49*$I$57/'Typology Baseline - climate adj'!G49*G48</f>
        <v>6.063942013179231</v>
      </c>
      <c r="J48" s="531">
        <f t="shared" si="31"/>
        <v>33.212501612437521</v>
      </c>
      <c r="K48" s="531">
        <f>IF(G24,'Typology Baseline - climate adj'!C48*$K$57*H48/SUM('Typology Baseline - climate adj'!C48*$K$57,'Typology Baseline - climate adj'!$D48:$F48),0)</f>
        <v>21.772584352784154</v>
      </c>
      <c r="L48" s="531">
        <f>IF(H24,($H48-$K48)/SUM('Typology Baseline - climate adj'!$D48:$F48)*'Typology Baseline - climate adj'!D48,0)</f>
        <v>1.2945333321018744</v>
      </c>
      <c r="M48" s="531">
        <f>IF('Typology Baseline - climate adj'!E48=0,0,($H48-$K48-$L48)/SUM('Typology Baseline - climate adj'!$E48:$F48)*'Typology Baseline - climate adj'!E48)</f>
        <v>0</v>
      </c>
      <c r="N48" s="618">
        <f>IF('Typology Baseline - climate adj'!F48=0,0,($H48-$K48-$L48)/SUM('Typology Baseline - climate adj'!$E48:$F48)*'Typology Baseline - climate adj'!F48)</f>
        <v>0</v>
      </c>
      <c r="O48" s="612"/>
      <c r="P48" s="526"/>
      <c r="Q48" s="525">
        <f t="shared" si="32"/>
        <v>15.240809046948907</v>
      </c>
      <c r="R48" s="525">
        <f t="shared" si="33"/>
        <v>1.2945333321018744</v>
      </c>
      <c r="S48" s="525">
        <f t="shared" si="34"/>
        <v>0</v>
      </c>
      <c r="T48" s="525">
        <f t="shared" si="35"/>
        <v>0</v>
      </c>
      <c r="U48" s="525"/>
      <c r="V48" s="525">
        <f t="shared" si="48"/>
        <v>16.535342379050782</v>
      </c>
      <c r="W48" s="533">
        <f t="shared" si="37"/>
        <v>31.421154900493402</v>
      </c>
      <c r="X48" s="533">
        <f t="shared" si="50"/>
        <v>47.95649727954418</v>
      </c>
      <c r="Y48" s="526"/>
      <c r="Z48" s="525">
        <f>SUMPRODUCT(Q48:T48,'Electrification of Gas End Uses'!$D$4:$G$4)</f>
        <v>5.40664071270169</v>
      </c>
      <c r="AA48" s="533">
        <f t="shared" si="51"/>
        <v>31.421154900493402</v>
      </c>
      <c r="AB48" s="533">
        <f t="shared" si="52"/>
        <v>36.827795613195093</v>
      </c>
      <c r="AD48" s="525">
        <f t="shared" si="49"/>
        <v>9.8999999999999986</v>
      </c>
      <c r="AE48" s="538">
        <f t="shared" si="53"/>
        <v>1.2945333321018744</v>
      </c>
      <c r="AF48" s="538">
        <f t="shared" si="42"/>
        <v>0</v>
      </c>
      <c r="AG48" s="538">
        <f t="shared" si="26"/>
        <v>0</v>
      </c>
      <c r="AH48" s="538">
        <f t="shared" si="43"/>
        <v>26.570001289950017</v>
      </c>
      <c r="AI48" s="539">
        <f t="shared" si="44"/>
        <v>4.2447594092254617</v>
      </c>
      <c r="AJ48" s="525">
        <f>SUMPRODUCT(AD48:AG48,'Electrification of Gas End Uses'!$D$4:$G$4)</f>
        <v>3.6975818176780391</v>
      </c>
      <c r="AK48" s="533">
        <f t="shared" si="54"/>
        <v>30.81476069917548</v>
      </c>
      <c r="AL48" s="533">
        <f t="shared" si="46"/>
        <v>34.512342516853522</v>
      </c>
      <c r="AN48" s="534">
        <f>SUMPRODUCT(K48:N48,'Electrification of Gas End Uses'!$D$5:$G$5)</f>
        <v>2.2946098290592358</v>
      </c>
      <c r="AO48" s="521">
        <f>SUMPRODUCT(K48:N48,'Electrification of Gas End Uses'!$D$6:$G$6)</f>
        <v>22.703754674762713</v>
      </c>
      <c r="AP48" s="540">
        <f>(AH$57+IF(AH48&gt;(AH$60),AH48-AH$60,0))*(1+$AH$59)/'Electrification of Gas End Uses'!$D$12</f>
        <v>10.180320515980005</v>
      </c>
      <c r="AQ48" s="541">
        <f t="shared" si="47"/>
        <v>0.125</v>
      </c>
    </row>
    <row r="49" spans="1:43" ht="14.25" x14ac:dyDescent="0.2">
      <c r="B49" s="367" t="str">
        <f>'Typology Baseline - climate adj'!A49</f>
        <v>Public assembly</v>
      </c>
      <c r="C49" s="525">
        <f t="shared" si="27"/>
        <v>5078316</v>
      </c>
      <c r="D49" s="526" t="b">
        <f t="shared" si="28"/>
        <v>1</v>
      </c>
      <c r="E49" s="526" t="str">
        <f t="shared" si="29"/>
        <v>City</v>
      </c>
      <c r="F49" s="617">
        <f t="shared" si="30"/>
        <v>84.859113543986069</v>
      </c>
      <c r="G49" s="531">
        <f>IF(D49,D25,'Typology Baseline - climate adj'!H49*$I$57+'Typology Baseline - climate adj'!I49)</f>
        <v>39.459487797953521</v>
      </c>
      <c r="H49" s="531">
        <f>IF(D49,C25,SUM('Typology Baseline - climate adj'!C49*$K$57*$K$58*G25,'Typology Baseline - climate adj'!$D49*H25,'Typology Baseline - climate adj'!$E49:$F49))</f>
        <v>45.399625746032548</v>
      </c>
      <c r="I49" s="531">
        <f>'Typology Baseline - climate adj'!H50*$I$57/'Typology Baseline - climate adj'!G50*G49</f>
        <v>3.8033241251039529</v>
      </c>
      <c r="J49" s="531">
        <f t="shared" si="31"/>
        <v>35.656163672849566</v>
      </c>
      <c r="K49" s="531">
        <f>IF(G25,'Typology Baseline - climate adj'!C49*$K$57*H49/SUM('Typology Baseline - climate adj'!C49*$K$57,'Typology Baseline - climate adj'!$D49:$F49),0)</f>
        <v>31.680097706200517</v>
      </c>
      <c r="L49" s="531">
        <f>IF(H25,($H49-$K49)/SUM('Typology Baseline - climate adj'!$D49:$F49)*'Typology Baseline - climate adj'!D49,0)</f>
        <v>2.182652188155096</v>
      </c>
      <c r="M49" s="531">
        <f>IF('Typology Baseline - climate adj'!E49=0,0,($H49-$K49-$L49)/SUM('Typology Baseline - climate adj'!$E49:$F49)*'Typology Baseline - climate adj'!E49)</f>
        <v>6.651892382948863</v>
      </c>
      <c r="N49" s="618">
        <f>IF('Typology Baseline - climate adj'!F49=0,0,($H49-$K49-$L49)/SUM('Typology Baseline - climate adj'!$E49:$F49)*'Typology Baseline - climate adj'!F49)</f>
        <v>4.8849834687280715</v>
      </c>
      <c r="O49" s="612"/>
      <c r="P49" s="526"/>
      <c r="Q49" s="525">
        <f t="shared" si="32"/>
        <v>22.176068394340362</v>
      </c>
      <c r="R49" s="525">
        <f t="shared" si="33"/>
        <v>2.182652188155096</v>
      </c>
      <c r="S49" s="525">
        <f t="shared" si="34"/>
        <v>6.651892382948863</v>
      </c>
      <c r="T49" s="525">
        <f t="shared" si="35"/>
        <v>4.8849834687280715</v>
      </c>
      <c r="U49" s="525"/>
      <c r="V49" s="525">
        <f t="shared" si="48"/>
        <v>35.89559643417239</v>
      </c>
      <c r="W49" s="533">
        <f t="shared" si="37"/>
        <v>31.567590238362818</v>
      </c>
      <c r="X49" s="533">
        <f t="shared" si="50"/>
        <v>67.463186672535215</v>
      </c>
      <c r="Y49" s="526"/>
      <c r="Z49" s="525">
        <f>SUMPRODUCT(Q49:T49,'Electrification of Gas End Uses'!$D$4:$G$4)</f>
        <v>16.367223909712273</v>
      </c>
      <c r="AA49" s="533">
        <f t="shared" si="51"/>
        <v>31.567590238362818</v>
      </c>
      <c r="AB49" s="533">
        <f t="shared" si="52"/>
        <v>47.934814148075091</v>
      </c>
      <c r="AD49" s="525">
        <f t="shared" si="49"/>
        <v>9.8999999999999986</v>
      </c>
      <c r="AE49" s="538">
        <f t="shared" si="53"/>
        <v>2.182652188155096</v>
      </c>
      <c r="AF49" s="538">
        <f t="shared" si="42"/>
        <v>6.651892382948863</v>
      </c>
      <c r="AG49" s="538">
        <f t="shared" si="26"/>
        <v>4.8849834687280715</v>
      </c>
      <c r="AH49" s="538">
        <f t="shared" si="43"/>
        <v>28.524930938279653</v>
      </c>
      <c r="AI49" s="539">
        <f t="shared" si="44"/>
        <v>2.662326887572767</v>
      </c>
      <c r="AJ49" s="525">
        <f>SUMPRODUCT(AD49:AG49,'Electrification of Gas End Uses'!$D$4:$G$4)</f>
        <v>12.438882023523359</v>
      </c>
      <c r="AK49" s="533">
        <f t="shared" si="54"/>
        <v>31.18725782585242</v>
      </c>
      <c r="AL49" s="533">
        <f t="shared" si="46"/>
        <v>43.626139849375775</v>
      </c>
      <c r="AN49" s="534">
        <f>SUMPRODUCT(K49:N49,'Electrification of Gas End Uses'!$D$5:$G$5)</f>
        <v>11.537842216619296</v>
      </c>
      <c r="AO49" s="521">
        <f>SUMPRODUCT(K49:N49,'Electrification of Gas End Uses'!$D$6:$G$6)</f>
        <v>40.828537043558988</v>
      </c>
      <c r="AP49" s="540">
        <f>(AH$57+IF(AH49&gt;(AH$60),AH49-AH$60,0))*(1+$AH$59)/'Electrification of Gas End Uses'!$D$12</f>
        <v>10.962292375311861</v>
      </c>
      <c r="AQ49" s="541">
        <f t="shared" si="47"/>
        <v>0.125</v>
      </c>
    </row>
    <row r="50" spans="1:43" ht="14.25" x14ac:dyDescent="0.2">
      <c r="B50" s="367" t="str">
        <f>'Typology Baseline - climate adj'!A50</f>
        <v>Public order and safety</v>
      </c>
      <c r="C50" s="525">
        <f t="shared" si="27"/>
        <v>639680</v>
      </c>
      <c r="D50" s="526" t="b">
        <f t="shared" si="28"/>
        <v>0</v>
      </c>
      <c r="E50" s="526" t="str">
        <f t="shared" si="29"/>
        <v>CBECS</v>
      </c>
      <c r="F50" s="617">
        <f t="shared" si="30"/>
        <v>78.242638079308961</v>
      </c>
      <c r="G50" s="531">
        <f>IF(D50,D26,'Typology Baseline - climate adj'!H50*$I$57+'Typology Baseline - climate adj'!I50)</f>
        <v>37.918072289156633</v>
      </c>
      <c r="H50" s="531">
        <f>IF(D50,C26,SUM('Typology Baseline - climate adj'!C50*$K$57*$K$58*G26,'Typology Baseline - climate adj'!$D50*H26,'Typology Baseline - climate adj'!$E50:$F50))</f>
        <v>40.324565790152334</v>
      </c>
      <c r="I50" s="531">
        <f>'Typology Baseline - climate adj'!H51*$I$57/'Typology Baseline - climate adj'!G51*G50</f>
        <v>3.3099658465642525</v>
      </c>
      <c r="J50" s="531">
        <f t="shared" si="31"/>
        <v>34.60810644259238</v>
      </c>
      <c r="K50" s="531">
        <f>IF(G26,'Typology Baseline - climate adj'!C50*$K$57*H50/SUM('Typology Baseline - climate adj'!C50*$K$57,'Typology Baseline - climate adj'!$D50:$F50),0)</f>
        <v>19.041498978366043</v>
      </c>
      <c r="L50" s="531">
        <f>IF(H26,($H50-$K50)/SUM('Typology Baseline - climate adj'!$D50:$F50)*'Typology Baseline - climate adj'!D50,0)</f>
        <v>18.291471075189826</v>
      </c>
      <c r="M50" s="531">
        <f>IF('Typology Baseline - climate adj'!E50=0,0,($H50-$K50-$L50)/SUM('Typology Baseline - climate adj'!$E50:$F50)*'Typology Baseline - climate adj'!E50)</f>
        <v>2.9915957365964658</v>
      </c>
      <c r="N50" s="618">
        <f>IF('Typology Baseline - climate adj'!F50=0,0,($H50-$K50-$L50)/SUM('Typology Baseline - climate adj'!$E50:$F50)*'Typology Baseline - climate adj'!F50)</f>
        <v>0</v>
      </c>
      <c r="O50" s="612"/>
      <c r="P50" s="526"/>
      <c r="Q50" s="525">
        <f t="shared" si="32"/>
        <v>13.329049284856229</v>
      </c>
      <c r="R50" s="525">
        <f t="shared" si="33"/>
        <v>18.291471075189826</v>
      </c>
      <c r="S50" s="525">
        <f t="shared" si="34"/>
        <v>2.9915957365964658</v>
      </c>
      <c r="T50" s="525">
        <f t="shared" si="35"/>
        <v>0</v>
      </c>
      <c r="U50" s="525"/>
      <c r="V50" s="525">
        <f t="shared" si="48"/>
        <v>34.612116096642524</v>
      </c>
      <c r="W50" s="533">
        <f t="shared" si="37"/>
        <v>30.334457831325309</v>
      </c>
      <c r="X50" s="533">
        <f t="shared" si="50"/>
        <v>64.946573927967833</v>
      </c>
      <c r="Y50" s="526"/>
      <c r="Z50" s="525">
        <f>SUMPRODUCT(Q50:T50,'Electrification of Gas End Uses'!$D$4:$G$4)</f>
        <v>13.57065573124801</v>
      </c>
      <c r="AA50" s="533">
        <f t="shared" si="51"/>
        <v>30.334457831325309</v>
      </c>
      <c r="AB50" s="533">
        <f t="shared" si="52"/>
        <v>43.90511356257332</v>
      </c>
      <c r="AD50" s="525">
        <f t="shared" si="49"/>
        <v>9.8999999999999986</v>
      </c>
      <c r="AE50" s="538">
        <f t="shared" si="53"/>
        <v>18.291471075189826</v>
      </c>
      <c r="AF50" s="538">
        <f t="shared" si="42"/>
        <v>2.9915957365964658</v>
      </c>
      <c r="AG50" s="538">
        <f t="shared" si="26"/>
        <v>0</v>
      </c>
      <c r="AH50" s="538">
        <f t="shared" si="43"/>
        <v>27.686485154073907</v>
      </c>
      <c r="AI50" s="539">
        <f t="shared" si="44"/>
        <v>2.3169760925949765</v>
      </c>
      <c r="AJ50" s="525">
        <f>SUMPRODUCT(AD50:AG50,'Electrification of Gas End Uses'!$D$4:$G$4)</f>
        <v>12.473359960094017</v>
      </c>
      <c r="AK50" s="533">
        <f t="shared" si="54"/>
        <v>30.003461246668884</v>
      </c>
      <c r="AL50" s="533">
        <f t="shared" si="46"/>
        <v>42.476821206762899</v>
      </c>
      <c r="AN50" s="534">
        <f>SUMPRODUCT(K50:N50,'Electrification of Gas End Uses'!$D$5:$G$5)</f>
        <v>6.055269368249558</v>
      </c>
      <c r="AO50" s="521">
        <f>SUMPRODUCT(K50:N50,'Electrification of Gas End Uses'!$D$6:$G$6)</f>
        <v>25.965584004642537</v>
      </c>
      <c r="AP50" s="540">
        <f>(AH$57+IF(AH50&gt;(AH$60),AH50-AH$60,0))*(1+$AH$59)/'Electrification of Gas End Uses'!$D$12</f>
        <v>10.626914061629563</v>
      </c>
      <c r="AQ50" s="541">
        <f t="shared" si="47"/>
        <v>0.12500000000000022</v>
      </c>
    </row>
    <row r="51" spans="1:43" ht="14.25" x14ac:dyDescent="0.2">
      <c r="B51" s="367" t="str">
        <f>'Typology Baseline - climate adj'!A51</f>
        <v>Religious worship</v>
      </c>
      <c r="C51" s="525">
        <f t="shared" si="27"/>
        <v>1714520</v>
      </c>
      <c r="D51" s="526" t="b">
        <f t="shared" si="28"/>
        <v>1</v>
      </c>
      <c r="E51" s="526" t="str">
        <f t="shared" si="29"/>
        <v>City</v>
      </c>
      <c r="F51" s="617">
        <f t="shared" si="30"/>
        <v>37.69795232046274</v>
      </c>
      <c r="G51" s="531">
        <f>IF(D51,D27,'Typology Baseline - climate adj'!H51*$I$57+'Typology Baseline - climate adj'!I51)</f>
        <v>12.063344742548077</v>
      </c>
      <c r="H51" s="531">
        <f>IF(D51,C27,SUM('Typology Baseline - climate adj'!C51*$K$57*$K$58*G27,'Typology Baseline - climate adj'!$D51*H27,'Typology Baseline - climate adj'!$E51:$F51))</f>
        <v>25.634607577914664</v>
      </c>
      <c r="I51" s="531">
        <f>'Typology Baseline - climate adj'!H52*$I$57/'Typology Baseline - climate adj'!G52*G51</f>
        <v>0.77817084833088712</v>
      </c>
      <c r="J51" s="531">
        <f t="shared" si="31"/>
        <v>11.28517389421719</v>
      </c>
      <c r="K51" s="531">
        <f>IF(G27,'Typology Baseline - climate adj'!C51*$K$57*H51/SUM('Typology Baseline - climate adj'!C51*$K$57,'Typology Baseline - climate adj'!$D51:$F51),0)</f>
        <v>20.354315425756116</v>
      </c>
      <c r="L51" s="531">
        <f>IF(H27,($H51-$K51)/SUM('Typology Baseline - climate adj'!$D51:$F51)*'Typology Baseline - climate adj'!D51,0)</f>
        <v>0</v>
      </c>
      <c r="M51" s="531">
        <f>IF('Typology Baseline - climate adj'!E51=0,0,($H51-$K51-$L51)/SUM('Typology Baseline - climate adj'!$E51:$F51)*'Typology Baseline - climate adj'!E51)</f>
        <v>5.2802921521585482</v>
      </c>
      <c r="N51" s="618">
        <f>IF('Typology Baseline - climate adj'!F51=0,0,($H51-$K51-$L51)/SUM('Typology Baseline - climate adj'!$E51:$F51)*'Typology Baseline - climate adj'!F51)</f>
        <v>0</v>
      </c>
      <c r="O51" s="612"/>
      <c r="P51" s="526"/>
      <c r="Q51" s="525">
        <f t="shared" si="32"/>
        <v>14.24802079802928</v>
      </c>
      <c r="R51" s="525">
        <f t="shared" si="33"/>
        <v>0</v>
      </c>
      <c r="S51" s="525">
        <f t="shared" si="34"/>
        <v>5.2802921521585482</v>
      </c>
      <c r="T51" s="525">
        <f t="shared" si="35"/>
        <v>0</v>
      </c>
      <c r="U51" s="525"/>
      <c r="V51" s="525">
        <f t="shared" si="48"/>
        <v>19.528312950187829</v>
      </c>
      <c r="W51" s="533">
        <f t="shared" si="37"/>
        <v>9.6506757940384631</v>
      </c>
      <c r="X51" s="533">
        <f t="shared" si="50"/>
        <v>29.178988744226292</v>
      </c>
      <c r="Y51" s="526"/>
      <c r="Z51" s="525">
        <f>SUMPRODUCT(Q51:T51,'Electrification of Gas End Uses'!$D$4:$G$4)</f>
        <v>7.7761300008362468</v>
      </c>
      <c r="AA51" s="533">
        <f t="shared" si="51"/>
        <v>9.6506757940384631</v>
      </c>
      <c r="AB51" s="533">
        <f t="shared" si="52"/>
        <v>17.42680579487471</v>
      </c>
      <c r="AD51" s="525">
        <f t="shared" si="49"/>
        <v>9.8999999999999986</v>
      </c>
      <c r="AE51" s="538">
        <f t="shared" si="53"/>
        <v>0</v>
      </c>
      <c r="AF51" s="538">
        <f t="shared" si="42"/>
        <v>5.2802921521585482</v>
      </c>
      <c r="AG51" s="538">
        <f t="shared" si="26"/>
        <v>0</v>
      </c>
      <c r="AH51" s="538">
        <f t="shared" si="43"/>
        <v>9.0281391153737527</v>
      </c>
      <c r="AI51" s="539">
        <f t="shared" si="44"/>
        <v>0.54471959383162094</v>
      </c>
      <c r="AJ51" s="525">
        <f>SUMPRODUCT(AD51:AG51,'Electrification of Gas End Uses'!$D$4:$G$4)</f>
        <v>6.384763345466876</v>
      </c>
      <c r="AK51" s="533">
        <f t="shared" si="54"/>
        <v>9.5728587092053736</v>
      </c>
      <c r="AL51" s="533">
        <f t="shared" si="46"/>
        <v>15.95762205467225</v>
      </c>
      <c r="AN51" s="534">
        <f>SUMPRODUCT(K51:N51,'Electrification of Gas End Uses'!$D$5:$G$5)</f>
        <v>6.0222258177858352</v>
      </c>
      <c r="AO51" s="521">
        <f>SUMPRODUCT(K51:N51,'Electrification of Gas End Uses'!$D$6:$G$6)</f>
        <v>24.762723015791398</v>
      </c>
      <c r="AP51" s="540">
        <f>(AH$57+IF(AH51&gt;(AH$60),AH51-AH$60,0))*(1+$AH$59)/'Electrification of Gas End Uses'!$D$12</f>
        <v>3.1635756461495008</v>
      </c>
      <c r="AQ51" s="541">
        <f t="shared" si="47"/>
        <v>0.12500000000000011</v>
      </c>
    </row>
    <row r="52" spans="1:43" ht="14.25" x14ac:dyDescent="0.2">
      <c r="B52" s="367" t="str">
        <f>'Typology Baseline - climate adj'!A52</f>
        <v>Service</v>
      </c>
      <c r="C52" s="525">
        <f t="shared" si="27"/>
        <v>405042</v>
      </c>
      <c r="D52" s="526" t="b">
        <f t="shared" si="28"/>
        <v>1</v>
      </c>
      <c r="E52" s="526" t="str">
        <f t="shared" si="29"/>
        <v>City</v>
      </c>
      <c r="F52" s="617">
        <f t="shared" si="30"/>
        <v>99.274803885625943</v>
      </c>
      <c r="G52" s="531">
        <f>IF(D52,D28,'Typology Baseline - climate adj'!H52*$I$57+'Typology Baseline - climate adj'!I52)</f>
        <v>32.76068528225656</v>
      </c>
      <c r="H52" s="531">
        <f>IF(D52,C28,SUM('Typology Baseline - climate adj'!C52*$K$57*$K$58*G28,'Typology Baseline - climate adj'!$D52*H28,'Typology Baseline - climate adj'!$E52:$F52))</f>
        <v>66.514118603369383</v>
      </c>
      <c r="I52" s="531">
        <f>'Typology Baseline - climate adj'!H53*$I$57/'Typology Baseline - climate adj'!G53*G52</f>
        <v>1.9789920374823791</v>
      </c>
      <c r="J52" s="531">
        <f t="shared" si="31"/>
        <v>30.781693244774182</v>
      </c>
      <c r="K52" s="531">
        <f>IF(G28,'Typology Baseline - climate adj'!C52*$K$57*H52/SUM('Typology Baseline - climate adj'!C52*$K$57,'Typology Baseline - climate adj'!$D52:$F52),0)</f>
        <v>44.659940449255537</v>
      </c>
      <c r="L52" s="531">
        <f>IF(H28,($H52-$K52)/SUM('Typology Baseline - climate adj'!$D52:$F52)*'Typology Baseline - climate adj'!D52,0)</f>
        <v>21.854178154113846</v>
      </c>
      <c r="M52" s="531">
        <f>IF('Typology Baseline - climate adj'!E52=0,0,($H52-$K52-$L52)/SUM('Typology Baseline - climate adj'!$E52:$F52)*'Typology Baseline - climate adj'!E52)</f>
        <v>0</v>
      </c>
      <c r="N52" s="618">
        <f>IF('Typology Baseline - climate adj'!F52=0,0,($H52-$K52-$L52)/SUM('Typology Baseline - climate adj'!$E52:$F52)*'Typology Baseline - climate adj'!F52)</f>
        <v>0</v>
      </c>
      <c r="O52" s="612"/>
      <c r="P52" s="526"/>
      <c r="Q52" s="525">
        <f t="shared" si="32"/>
        <v>31.261958314478875</v>
      </c>
      <c r="R52" s="525">
        <f t="shared" si="33"/>
        <v>21.854178154113846</v>
      </c>
      <c r="S52" s="525">
        <f t="shared" si="34"/>
        <v>0</v>
      </c>
      <c r="T52" s="525">
        <f t="shared" si="35"/>
        <v>0</v>
      </c>
      <c r="U52" s="525"/>
      <c r="V52" s="525">
        <f t="shared" si="48"/>
        <v>53.116136468592721</v>
      </c>
      <c r="W52" s="533">
        <f t="shared" si="37"/>
        <v>26.208548225805249</v>
      </c>
      <c r="X52" s="533">
        <f t="shared" si="50"/>
        <v>79.324684694397973</v>
      </c>
      <c r="Y52" s="526"/>
      <c r="Z52" s="525">
        <f>SUMPRODUCT(Q52:T52,'Electrification of Gas End Uses'!$D$4:$G$4)</f>
        <v>18.944172269134359</v>
      </c>
      <c r="AA52" s="533">
        <f t="shared" si="51"/>
        <v>26.208548225805249</v>
      </c>
      <c r="AB52" s="533">
        <f t="shared" si="52"/>
        <v>45.152720494939608</v>
      </c>
      <c r="AD52" s="525">
        <f t="shared" si="49"/>
        <v>9.8999999999999986</v>
      </c>
      <c r="AE52" s="538">
        <f t="shared" si="53"/>
        <v>21.854178154113846</v>
      </c>
      <c r="AF52" s="538">
        <f t="shared" si="53"/>
        <v>0</v>
      </c>
      <c r="AG52" s="538">
        <f t="shared" si="26"/>
        <v>0</v>
      </c>
      <c r="AH52" s="538">
        <f t="shared" si="43"/>
        <v>24.625354595819346</v>
      </c>
      <c r="AI52" s="539">
        <f t="shared" si="44"/>
        <v>1.3852944262376652</v>
      </c>
      <c r="AJ52" s="525">
        <f>SUMPRODUCT(AD52:AG52,'Electrification of Gas End Uses'!$D$4:$G$4)</f>
        <v>12.108345608501118</v>
      </c>
      <c r="AK52" s="533">
        <f t="shared" si="54"/>
        <v>26.010649022057009</v>
      </c>
      <c r="AL52" s="533">
        <f t="shared" si="46"/>
        <v>38.118994630558127</v>
      </c>
      <c r="AN52" s="534">
        <f>SUMPRODUCT(K52:N52,'Electrification of Gas End Uses'!$D$5:$G$5)</f>
        <v>6.6990945750472513</v>
      </c>
      <c r="AO52" s="521">
        <f>SUMPRODUCT(K52:N52,'Electrification of Gas End Uses'!$D$6:$G$6)</f>
        <v>50.986709894997858</v>
      </c>
      <c r="AP52" s="540">
        <f>(AH$57+IF(AH52&gt;(AH$60),AH52-AH$60,0))*(1+$AH$59)/'Electrification of Gas End Uses'!$D$12</f>
        <v>9.4024618383277385</v>
      </c>
      <c r="AQ52" s="541">
        <f t="shared" si="47"/>
        <v>0.12500000000000011</v>
      </c>
    </row>
    <row r="53" spans="1:43" ht="14.25" x14ac:dyDescent="0.2">
      <c r="B53" s="367" t="str">
        <f>'Typology Baseline - climate adj'!A53</f>
        <v>Warehouse and storage</v>
      </c>
      <c r="C53" s="525">
        <f t="shared" si="27"/>
        <v>13724146</v>
      </c>
      <c r="D53" s="526" t="b">
        <f t="shared" si="28"/>
        <v>1</v>
      </c>
      <c r="E53" s="526" t="str">
        <f t="shared" si="29"/>
        <v>City</v>
      </c>
      <c r="F53" s="617">
        <f t="shared" si="30"/>
        <v>30.505472013511628</v>
      </c>
      <c r="G53" s="531">
        <f>IF(D53,D29,'Typology Baseline - climate adj'!H53*$I$57+'Typology Baseline - climate adj'!I53)</f>
        <v>19.981084168850117</v>
      </c>
      <c r="H53" s="531">
        <f>IF(D53,C29,SUM('Typology Baseline - climate adj'!C53*$K$57*$K$58*G29,'Typology Baseline - climate adj'!$D53*H29,'Typology Baseline - climate adj'!$E53:$F53))</f>
        <v>10.524387844661511</v>
      </c>
      <c r="I53" s="531">
        <f>'Typology Baseline - climate adj'!H48*$I$57/'Typology Baseline - climate adj'!G48*G53</f>
        <v>1.1706777096482608</v>
      </c>
      <c r="J53" s="531">
        <f t="shared" si="31"/>
        <v>18.810406459201857</v>
      </c>
      <c r="K53" s="531">
        <f>IF(G29,'Typology Baseline - climate adj'!C53*$K$57*H53/SUM('Typology Baseline - climate adj'!C53*$K$57,'Typology Baseline - climate adj'!$D53:$F53),0)</f>
        <v>6.2401873578479155</v>
      </c>
      <c r="L53" s="531">
        <f>IF(H29,($H53-$K53)/SUM('Typology Baseline - climate adj'!$D53:$F53)*'Typology Baseline - climate adj'!D53,0)</f>
        <v>1.254967819369639</v>
      </c>
      <c r="M53" s="531">
        <f>IF('Typology Baseline - climate adj'!E53=0,0,($H53-$K53-$L53)/SUM('Typology Baseline - climate adj'!$E53:$F53)*'Typology Baseline - climate adj'!E53)</f>
        <v>0</v>
      </c>
      <c r="N53" s="618">
        <f>IF('Typology Baseline - climate adj'!F53=0,0,($H53-$K53-$L53)/SUM('Typology Baseline - climate adj'!$E53:$F53)*'Typology Baseline - climate adj'!F53)</f>
        <v>3.0292326674439569</v>
      </c>
      <c r="O53" s="612"/>
      <c r="P53" s="526"/>
      <c r="Q53" s="525">
        <f t="shared" si="32"/>
        <v>4.3681311504935403</v>
      </c>
      <c r="R53" s="525">
        <f t="shared" si="33"/>
        <v>1.254967819369639</v>
      </c>
      <c r="S53" s="525">
        <f t="shared" si="34"/>
        <v>0</v>
      </c>
      <c r="T53" s="525">
        <f t="shared" si="35"/>
        <v>3.0292326674439569</v>
      </c>
      <c r="U53" s="525"/>
      <c r="V53" s="525">
        <f t="shared" si="48"/>
        <v>8.6523316373071353</v>
      </c>
      <c r="W53" s="533">
        <f t="shared" si="37"/>
        <v>15.984867335080095</v>
      </c>
      <c r="X53" s="533">
        <f t="shared" si="50"/>
        <v>24.637198972387232</v>
      </c>
      <c r="Y53" s="526"/>
      <c r="Z53" s="525">
        <f>SUMPRODUCT(Q53:T53,'Electrification of Gas End Uses'!$D$4:$G$4)</f>
        <v>4.5935718593285717</v>
      </c>
      <c r="AA53" s="533">
        <f t="shared" si="51"/>
        <v>15.984867335080095</v>
      </c>
      <c r="AB53" s="533">
        <f t="shared" si="52"/>
        <v>20.578439194408666</v>
      </c>
      <c r="AD53" s="525">
        <f t="shared" si="49"/>
        <v>4.3681311504935403</v>
      </c>
      <c r="AE53" s="538">
        <f t="shared" si="53"/>
        <v>1.254967819369639</v>
      </c>
      <c r="AF53" s="538">
        <f t="shared" si="53"/>
        <v>0</v>
      </c>
      <c r="AG53" s="538">
        <f t="shared" si="26"/>
        <v>3.0292326674439569</v>
      </c>
      <c r="AH53" s="538">
        <f t="shared" si="43"/>
        <v>15.048325167361487</v>
      </c>
      <c r="AI53" s="539">
        <f t="shared" si="44"/>
        <v>0.81947439675378253</v>
      </c>
      <c r="AJ53" s="525">
        <f>SUMPRODUCT(AD53:AG53,'Electrification of Gas End Uses'!$D$4:$G$4)</f>
        <v>4.5935718593285717</v>
      </c>
      <c r="AK53" s="533">
        <f t="shared" si="54"/>
        <v>15.86779956411527</v>
      </c>
      <c r="AL53" s="533">
        <f t="shared" si="46"/>
        <v>20.461371423443843</v>
      </c>
      <c r="AN53" s="534">
        <f>SUMPRODUCT(K53:N53,'Electrification of Gas End Uses'!$D$5:$G$5)</f>
        <v>2.6876289020116082</v>
      </c>
      <c r="AO53" s="521">
        <f>SUMPRODUCT(K53:N53,'Electrification of Gas End Uses'!$D$6:$G$6)</f>
        <v>8.5193632804803894</v>
      </c>
      <c r="AP53" s="540">
        <f>(AH$57+IF(AH53&gt;(AH$60),AH53-AH$60,0))*(1+$AH$59)/'Electrification of Gas End Uses'!$D$12</f>
        <v>5.5716500669445939</v>
      </c>
      <c r="AQ53" s="541">
        <f t="shared" si="47"/>
        <v>0.125</v>
      </c>
    </row>
    <row r="54" spans="1:43" ht="15" thickBot="1" x14ac:dyDescent="0.25">
      <c r="B54" s="367" t="str">
        <f>'Typology Baseline - climate adj'!A54</f>
        <v>Vacant</v>
      </c>
      <c r="C54" s="525">
        <f t="shared" si="27"/>
        <v>0</v>
      </c>
      <c r="D54" s="526" t="b">
        <f t="shared" si="28"/>
        <v>0</v>
      </c>
      <c r="E54" s="526" t="str">
        <f t="shared" si="29"/>
        <v>CBECS</v>
      </c>
      <c r="F54" s="619">
        <f t="shared" si="30"/>
        <v>23.71596357931244</v>
      </c>
      <c r="G54" s="620">
        <f>IF(D54,D30,'Typology Baseline - climate adj'!H54*$I$57+'Typology Baseline - climate adj'!I54)</f>
        <v>13.348192771084337</v>
      </c>
      <c r="H54" s="620">
        <f>IF(D54,C30,SUM('Typology Baseline - climate adj'!C54*$K$57*$K$58*G30,'Typology Baseline - climate adj'!$D54*H30,'Typology Baseline - climate adj'!$E54:$F54))</f>
        <v>10.367770808228103</v>
      </c>
      <c r="I54" s="620">
        <f>'Typology Baseline - climate adj'!H54*$I$57/'Typology Baseline - climate adj'!G54*G54</f>
        <v>0.7701932391478874</v>
      </c>
      <c r="J54" s="620">
        <f t="shared" si="31"/>
        <v>12.577999531936449</v>
      </c>
      <c r="K54" s="620">
        <f>IF(G30,'Typology Baseline - climate adj'!C54*$K$57*H54/SUM('Typology Baseline - climate adj'!C54*$K$57,'Typology Baseline - climate adj'!$D54:$F54),0)</f>
        <v>9.356424008042536</v>
      </c>
      <c r="L54" s="620">
        <f>IF(H30,($H54-$K54)/SUM('Typology Baseline - climate adj'!$D54:$F54)*'Typology Baseline - climate adj'!D54,0)</f>
        <v>1.0113468001855672</v>
      </c>
      <c r="M54" s="620">
        <f>IF('Typology Baseline - climate adj'!E54=0,0,($H54-$K54-$L54)/SUM('Typology Baseline - climate adj'!$E54:$F54)*'Typology Baseline - climate adj'!E54)</f>
        <v>0</v>
      </c>
      <c r="N54" s="621">
        <f>IF('Typology Baseline - climate adj'!F54=0,0,($H54-$K54-$L54)/SUM('Typology Baseline - climate adj'!$E54:$F54)*'Typology Baseline - climate adj'!F54)</f>
        <v>0</v>
      </c>
      <c r="O54" s="612"/>
      <c r="P54" s="526"/>
      <c r="Q54" s="525">
        <f t="shared" si="32"/>
        <v>6.5494968056297749</v>
      </c>
      <c r="R54" s="525">
        <f t="shared" si="33"/>
        <v>1.0113468001855672</v>
      </c>
      <c r="S54" s="525">
        <f t="shared" si="34"/>
        <v>0</v>
      </c>
      <c r="T54" s="525">
        <f t="shared" si="35"/>
        <v>0</v>
      </c>
      <c r="U54" s="525"/>
      <c r="V54" s="525">
        <f t="shared" si="48"/>
        <v>7.5608436058153421</v>
      </c>
      <c r="W54" s="533">
        <f t="shared" si="37"/>
        <v>10.67855421686747</v>
      </c>
      <c r="X54" s="533">
        <f t="shared" si="50"/>
        <v>18.239397822682811</v>
      </c>
      <c r="Y54" s="526"/>
      <c r="Z54" s="525">
        <f>SUMPRODUCT(Q54:T54,'Electrification of Gas End Uses'!$D$4:$G$4)</f>
        <v>2.5095717596956235</v>
      </c>
      <c r="AA54" s="533">
        <f t="shared" si="51"/>
        <v>10.67855421686747</v>
      </c>
      <c r="AB54" s="533">
        <f t="shared" si="52"/>
        <v>13.188125976563093</v>
      </c>
      <c r="AD54" s="525">
        <f t="shared" si="49"/>
        <v>6.5494968056297749</v>
      </c>
      <c r="AE54" s="538">
        <f t="shared" si="53"/>
        <v>1.0113468001855672</v>
      </c>
      <c r="AF54" s="538">
        <f t="shared" si="53"/>
        <v>0</v>
      </c>
      <c r="AG54" s="538">
        <f t="shared" si="26"/>
        <v>0</v>
      </c>
      <c r="AH54" s="538">
        <f t="shared" si="43"/>
        <v>10.06239962554916</v>
      </c>
      <c r="AI54" s="539">
        <f t="shared" si="44"/>
        <v>0.53913526740352113</v>
      </c>
      <c r="AJ54" s="525">
        <f>SUMPRODUCT(AD54:AG54,'Electrification of Gas End Uses'!$D$4:$G$4)</f>
        <v>2.5095717596956235</v>
      </c>
      <c r="AK54" s="533">
        <f t="shared" si="54"/>
        <v>10.601534892952682</v>
      </c>
      <c r="AL54" s="533">
        <f t="shared" si="46"/>
        <v>13.111106652648305</v>
      </c>
      <c r="AN54" s="534">
        <f>SUMPRODUCT(K54:N54,'Electrification of Gas End Uses'!$D$5:$G$5)</f>
        <v>1.0332949716478759</v>
      </c>
      <c r="AO54" s="521">
        <f>SUMPRODUCT(K54:N54,'Electrification of Gas End Uses'!$D$6:$G$6)</f>
        <v>9.8612635000370492</v>
      </c>
      <c r="AP54" s="540">
        <f>(AH$57+IF(AH54&gt;(AH$60),AH54-AH$60,0))*(1+$AH$59)/'Electrification of Gas End Uses'!$D$12</f>
        <v>3.5772798502196634</v>
      </c>
      <c r="AQ54" s="541">
        <f t="shared" si="47"/>
        <v>0.12500000000000011</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0.38554216867469876</v>
      </c>
      <c r="J57" s="533"/>
      <c r="K57" s="535">
        <f>INDEX('Typology Baseline - climate adj'!$B$4:$B$8,MATCH(C3,'Typology Baseline - climate adj'!A4:A8,0))</f>
        <v>0.86346863468634671</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0.69238344416803888</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row r="65" spans="1:43" ht="14.25" x14ac:dyDescent="0.2">
      <c r="A65" s="138"/>
      <c r="B65" s="138"/>
      <c r="C65" s="138"/>
      <c r="D65" s="138"/>
      <c r="E65" s="138"/>
      <c r="F65" s="526"/>
      <c r="G65" s="526"/>
      <c r="H65" s="526"/>
      <c r="K65" s="138"/>
      <c r="L65" s="138"/>
      <c r="M65" s="138"/>
      <c r="N65" s="138"/>
      <c r="O65" s="138"/>
      <c r="P65" s="138"/>
      <c r="Q65" s="138"/>
      <c r="R65" s="138"/>
      <c r="S65" s="138"/>
      <c r="T65" s="138"/>
      <c r="U65" s="138"/>
      <c r="V65" s="138"/>
      <c r="W65" s="138"/>
      <c r="Z65" s="526"/>
      <c r="AA65" s="526"/>
      <c r="AB65" s="526"/>
      <c r="AC65" s="526"/>
      <c r="AD65" s="138"/>
      <c r="AE65" s="138"/>
      <c r="AJ65" s="138"/>
      <c r="AK65" s="526"/>
      <c r="AL65" s="526"/>
    </row>
    <row r="66" spans="1:43" ht="14.25" x14ac:dyDescent="0.2">
      <c r="A66" s="138"/>
      <c r="B66" s="138"/>
      <c r="C66" s="138"/>
      <c r="D66" s="138"/>
      <c r="E66" s="138"/>
      <c r="F66" s="536"/>
      <c r="G66" s="509"/>
      <c r="H66" s="512"/>
      <c r="I66" s="537"/>
      <c r="J66" s="537"/>
      <c r="K66" s="537"/>
      <c r="L66" s="537"/>
      <c r="M66" s="537"/>
      <c r="N66" s="537"/>
      <c r="O66" s="537"/>
      <c r="P66" s="537"/>
      <c r="Q66" s="537"/>
      <c r="R66" s="537"/>
      <c r="S66" s="138"/>
      <c r="T66" s="537"/>
      <c r="U66" s="537"/>
      <c r="V66" s="537"/>
      <c r="W66" s="138"/>
      <c r="Z66" s="529"/>
      <c r="AA66" s="529"/>
      <c r="AB66" s="529"/>
      <c r="AC66" s="529"/>
      <c r="AD66" s="537"/>
      <c r="AE66" s="537"/>
      <c r="AF66" s="537"/>
      <c r="AG66" s="537"/>
      <c r="AH66" s="537"/>
      <c r="AJ66" s="529"/>
      <c r="AK66" s="529"/>
      <c r="AL66" s="529"/>
      <c r="AO66" s="529"/>
    </row>
    <row r="67" spans="1:43" ht="14.25" x14ac:dyDescent="0.2">
      <c r="A67" s="526"/>
      <c r="C67" s="526"/>
      <c r="D67" s="530"/>
      <c r="E67" s="526"/>
      <c r="F67" s="506"/>
      <c r="G67" s="506"/>
      <c r="H67" s="506"/>
      <c r="I67" s="538"/>
      <c r="J67" s="538"/>
      <c r="K67" s="538"/>
      <c r="L67" s="538"/>
      <c r="M67" s="538"/>
      <c r="N67" s="538"/>
      <c r="O67" s="538"/>
      <c r="P67" s="538"/>
      <c r="Q67" s="538"/>
      <c r="R67" s="538"/>
      <c r="S67" s="138"/>
      <c r="T67" s="416"/>
      <c r="U67" s="416"/>
      <c r="V67" s="533"/>
      <c r="W67" s="138"/>
      <c r="Z67" s="525"/>
      <c r="AA67" s="533"/>
      <c r="AB67" s="533"/>
      <c r="AC67" s="533"/>
      <c r="AD67" s="525"/>
      <c r="AE67" s="538"/>
      <c r="AF67" s="538"/>
      <c r="AG67" s="538"/>
      <c r="AH67" s="539"/>
      <c r="AJ67" s="525"/>
      <c r="AK67" s="533"/>
      <c r="AL67" s="533"/>
      <c r="AN67" s="534"/>
      <c r="AO67" s="534"/>
      <c r="AP67" s="540"/>
      <c r="AQ67" s="541"/>
    </row>
    <row r="68" spans="1:43" ht="14.25" x14ac:dyDescent="0.2">
      <c r="A68" s="526"/>
      <c r="Q68" s="538"/>
      <c r="R68" s="538"/>
      <c r="S68" s="138"/>
      <c r="T68" s="416"/>
      <c r="U68" s="416"/>
      <c r="V68" s="533"/>
      <c r="W68" s="138"/>
      <c r="Z68" s="525"/>
      <c r="AA68" s="533"/>
      <c r="AB68" s="533"/>
      <c r="AC68" s="533"/>
      <c r="AD68" s="525"/>
      <c r="AE68" s="538"/>
      <c r="AF68" s="538"/>
      <c r="AG68" s="538"/>
      <c r="AH68" s="539"/>
      <c r="AJ68" s="525"/>
      <c r="AK68" s="533"/>
      <c r="AL68" s="533"/>
      <c r="AN68" s="534"/>
      <c r="AO68" s="534"/>
      <c r="AP68" s="540"/>
      <c r="AQ68" s="541"/>
    </row>
    <row r="69" spans="1:43" ht="14.25" x14ac:dyDescent="0.2">
      <c r="A69" s="526"/>
      <c r="Q69" s="538"/>
      <c r="R69" s="538"/>
      <c r="S69" s="138"/>
      <c r="T69" s="416"/>
      <c r="U69" s="416"/>
      <c r="V69" s="533"/>
      <c r="W69" s="138"/>
      <c r="Z69" s="525"/>
      <c r="AA69" s="533"/>
      <c r="AB69" s="533"/>
      <c r="AC69" s="533"/>
      <c r="AD69" s="525"/>
      <c r="AE69" s="538"/>
      <c r="AF69" s="538"/>
      <c r="AG69" s="538"/>
      <c r="AH69" s="539"/>
      <c r="AJ69" s="525"/>
      <c r="AK69" s="533"/>
      <c r="AL69" s="533"/>
      <c r="AN69" s="534"/>
      <c r="AO69" s="534"/>
      <c r="AP69" s="540"/>
      <c r="AQ69" s="541"/>
    </row>
    <row r="70" spans="1:43" ht="14.25" x14ac:dyDescent="0.2">
      <c r="A70" s="526"/>
      <c r="Q70" s="538"/>
      <c r="R70" s="538"/>
      <c r="T70" s="416"/>
      <c r="U70" s="416"/>
      <c r="V70" s="533"/>
      <c r="Z70" s="525"/>
      <c r="AA70" s="533"/>
      <c r="AB70" s="533"/>
      <c r="AC70" s="533"/>
      <c r="AD70" s="525"/>
      <c r="AE70" s="538"/>
      <c r="AF70" s="538"/>
      <c r="AG70" s="538"/>
      <c r="AH70" s="539"/>
      <c r="AJ70" s="525"/>
      <c r="AK70" s="533"/>
      <c r="AL70" s="533"/>
      <c r="AN70" s="534"/>
      <c r="AO70" s="534"/>
      <c r="AP70" s="540"/>
      <c r="AQ70" s="541"/>
    </row>
    <row r="71" spans="1:43" ht="14.25" x14ac:dyDescent="0.2">
      <c r="A71" s="526"/>
      <c r="C71" s="526"/>
      <c r="D71" s="530"/>
      <c r="E71" s="526"/>
      <c r="F71" s="506"/>
      <c r="G71" s="506"/>
      <c r="H71" s="506"/>
      <c r="I71" s="538"/>
      <c r="J71" s="538"/>
      <c r="K71" s="538"/>
      <c r="L71" s="538"/>
      <c r="M71" s="538"/>
      <c r="N71" s="538"/>
      <c r="O71" s="538"/>
      <c r="P71" s="538"/>
      <c r="Q71" s="538"/>
      <c r="R71" s="538"/>
      <c r="T71" s="416"/>
      <c r="U71" s="416"/>
      <c r="V71" s="533"/>
      <c r="Z71" s="525"/>
      <c r="AA71" s="533"/>
      <c r="AB71" s="533"/>
      <c r="AC71" s="533"/>
      <c r="AD71" s="525"/>
      <c r="AE71" s="538"/>
      <c r="AF71" s="538"/>
      <c r="AG71" s="538"/>
      <c r="AH71" s="539"/>
      <c r="AJ71" s="525"/>
      <c r="AK71" s="533"/>
      <c r="AL71" s="533"/>
      <c r="AN71" s="534"/>
      <c r="AO71" s="534"/>
      <c r="AP71" s="540"/>
      <c r="AQ71" s="541"/>
    </row>
    <row r="72" spans="1:43" ht="14.25" x14ac:dyDescent="0.2">
      <c r="A72" s="526"/>
      <c r="D72" s="530"/>
      <c r="E72" s="526"/>
      <c r="F72" s="416"/>
      <c r="G72" s="416"/>
      <c r="H72" s="416"/>
      <c r="I72" s="538"/>
      <c r="J72" s="538"/>
      <c r="K72" s="538"/>
      <c r="L72" s="538"/>
      <c r="M72" s="538"/>
      <c r="N72" s="538"/>
    </row>
  </sheetData>
  <mergeCells count="6">
    <mergeCell ref="Q10:S10"/>
    <mergeCell ref="T10:V10"/>
    <mergeCell ref="K34:N34"/>
    <mergeCell ref="I34:J34"/>
    <mergeCell ref="K10:M10"/>
    <mergeCell ref="N10:P10"/>
  </mergeCells>
  <conditionalFormatting sqref="Z15:AB30">
    <cfRule type="dataBar" priority="3">
      <dataBar>
        <cfvo type="min"/>
        <cfvo type="max"/>
        <color rgb="FF63C384"/>
      </dataBar>
      <extLst>
        <ext xmlns:x14="http://schemas.microsoft.com/office/spreadsheetml/2009/9/main" uri="{B025F937-C7B1-47D3-B67F-A62EFF666E3E}">
          <x14:id>{014F0661-8342-4B73-8167-F40A507B9AF6}</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{937E549C-15BF-41D6-8D7B-FD067CAE695B}</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{EF4CA8FE-F89B-43AF-9415-66F6DE42E220}</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{DC75D994-0C1D-40CD-BCC3-234B640D0FA4}</x14:id>
        </ext>
      </extLst>
    </cfRule>
  </conditionalFormatting>
  <dataValidations count="6">
    <dataValidation allowBlank="1" showInputMessage="1" showErrorMessage="1" prompt="source (page 7, figure 1): https://portfoliomanager.energystar.gov/pdf/reference/Emissions.pdf" sqref="Z3" xr:uid="{099BC080-68C4-466E-AF79-440F38F014D4}"/>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E8EBB244-7353-4AF4-B0B6-479247DC521F}">
      <formula1>0</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58B27744-A78A-4FFE-9854-DF301977F36B}">
      <formula1>-1</formula1>
      <formula2>1</formula2>
    </dataValidation>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3EB9F82A-3905-40A1-B63F-9E5F0AD89A25}">
      <formula1>-1</formula1>
      <formula2>1</formula2>
    </dataValidation>
    <dataValidation allowBlank="1" showErrorMessage="1" sqref="C12:D30" xr:uid="{C0E239BA-F6B4-457E-956C-1BD88A53398E}"/>
    <dataValidation allowBlank="1" showErrorMessage="1" prompt="If energy data is available for these typologies, enter it here. For any typologies where energy data is not available, CBECS data will be used for baseline information. " sqref="F12:F30" xr:uid="{27FC8014-1677-4202-84F1-B5369EEFF81B}"/>
  </dataValidations>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014F0661-8342-4B73-8167-F40A507B9AF6}">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937E549C-15BF-41D6-8D7B-FD067CAE695B}">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EF4CA8FE-F89B-43AF-9415-66F6DE42E220}">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DC75D994-0C1D-40CD-BCC3-234B640D0FA4}">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E667624A-4650-4DE1-A1DE-2E6F51E6CD18}">
          <x14:formula1>
            <xm:f>'GHG Coefficient Lookup'!$AD$3:$AD$6</xm:f>
          </x14:formula1>
          <xm:sqref>C4</xm:sqref>
        </x14:dataValidation>
        <x14:dataValidation type="list" allowBlank="1" showInputMessage="1" showErrorMessage="1" xr:uid="{2D265BAF-AA0B-46AD-8D6A-94B06EB977CB}">
          <x14:formula1>
            <xm:f>'Typology Baseline - climate adj'!$A$4:$A$8</xm:f>
          </x14:formula1>
          <xm:sqref>C3</xm:sqref>
        </x14:dataValidation>
        <x14:dataValidation type="list" allowBlank="1" showErrorMessage="1" xr:uid="{06607F3B-9A71-49B0-A831-F5AB44AA83DA}">
          <x14:formula1>
            <xm:f>'Typology Baseline - climate adj'!$A$56:$A$57</xm:f>
          </x14:formula1>
          <xm:sqref>G12:H30</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FB30E86E-94D3-43B9-9835-F738909DF189}">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Seattle!AK12:AN12</xm:f>
              <xm:sqref>W12</xm:sqref>
            </x14:sparkline>
            <x14:sparkline>
              <xm:f>Seattle!AK13:AN13</xm:f>
              <xm:sqref>W13</xm:sqref>
            </x14:sparkline>
            <x14:sparkline>
              <xm:f>Seattle!AK14:AN14</xm:f>
              <xm:sqref>W14</xm:sqref>
            </x14:sparkline>
            <x14:sparkline>
              <xm:f>Seattle!AK15:AN15</xm:f>
              <xm:sqref>W15</xm:sqref>
            </x14:sparkline>
            <x14:sparkline>
              <xm:f>Seattle!AK16:AN16</xm:f>
              <xm:sqref>W16</xm:sqref>
            </x14:sparkline>
            <x14:sparkline>
              <xm:f>Seattle!AK17:AN17</xm:f>
              <xm:sqref>W17</xm:sqref>
            </x14:sparkline>
            <x14:sparkline>
              <xm:f>Seattle!AK18:AN18</xm:f>
              <xm:sqref>W18</xm:sqref>
            </x14:sparkline>
            <x14:sparkline>
              <xm:f>Seattle!AK19:AN19</xm:f>
              <xm:sqref>W19</xm:sqref>
            </x14:sparkline>
            <x14:sparkline>
              <xm:f>Seattle!AK20:AN20</xm:f>
              <xm:sqref>W20</xm:sqref>
            </x14:sparkline>
            <x14:sparkline>
              <xm:f>Seattle!AK21:AN21</xm:f>
              <xm:sqref>W21</xm:sqref>
            </x14:sparkline>
            <x14:sparkline>
              <xm:f>Seattle!AK22:AN22</xm:f>
              <xm:sqref>W22</xm:sqref>
            </x14:sparkline>
            <x14:sparkline>
              <xm:f>Seattle!AK23:AN23</xm:f>
              <xm:sqref>W23</xm:sqref>
            </x14:sparkline>
            <x14:sparkline>
              <xm:f>Seattle!AK24:AN24</xm:f>
              <xm:sqref>W24</xm:sqref>
            </x14:sparkline>
            <x14:sparkline>
              <xm:f>Seattle!AK25:AN25</xm:f>
              <xm:sqref>W25</xm:sqref>
            </x14:sparkline>
            <x14:sparkline>
              <xm:f>Seattle!AK26:AN26</xm:f>
              <xm:sqref>W26</xm:sqref>
            </x14:sparkline>
            <x14:sparkline>
              <xm:f>Seattle!AK27:AN27</xm:f>
              <xm:sqref>W27</xm:sqref>
            </x14:sparkline>
            <x14:sparkline>
              <xm:f>Seattle!AK28:AN28</xm:f>
              <xm:sqref>W28</xm:sqref>
            </x14:sparkline>
            <x14:sparkline>
              <xm:f>Seattle!AK29:AN29</xm:f>
              <xm:sqref>W29</xm:sqref>
            </x14:sparkline>
            <x14:sparkline>
              <xm:f>Seattle!AK30:AN30</xm:f>
              <xm:sqref>W30</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A32B-7657-4043-B693-22098A8D9874}">
  <sheetPr>
    <tabColor theme="4" tint="0.79998168889431442"/>
  </sheetPr>
  <dimension ref="A1:AQ72"/>
  <sheetViews>
    <sheetView topLeftCell="Q1" zoomScale="85" zoomScaleNormal="85" workbookViewId="0">
      <selection activeCell="Y12" sqref="Y12:AG30"/>
    </sheetView>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8" width="12.28515625" style="495" customWidth="1"/>
    <col min="19" max="19" width="9.140625" style="495"/>
    <col min="20" max="20" width="12.28515625" style="495" customWidth="1"/>
    <col min="21" max="21" width="11" style="495" bestFit="1" customWidth="1"/>
    <col min="22" max="22" width="17.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405</v>
      </c>
      <c r="G2" s="128" t="s">
        <v>1550</v>
      </c>
      <c r="H2" s="128"/>
      <c r="J2" s="525"/>
      <c r="K2" s="525"/>
      <c r="Y2" s="371" t="s">
        <v>448</v>
      </c>
      <c r="Z2" s="610" t="s">
        <v>449</v>
      </c>
    </row>
    <row r="3" spans="2:40" ht="18" x14ac:dyDescent="0.25">
      <c r="B3" s="353" t="s">
        <v>450</v>
      </c>
      <c r="C3" s="352" t="s">
        <v>128</v>
      </c>
      <c r="D3" s="577" t="s">
        <v>451</v>
      </c>
      <c r="F3" s="615" t="s">
        <v>221</v>
      </c>
      <c r="G3" s="501">
        <v>0.15</v>
      </c>
      <c r="H3" s="263"/>
      <c r="Y3" s="610" t="s">
        <v>452</v>
      </c>
      <c r="Z3" s="495">
        <f>53.11/1000</f>
        <v>5.3109999999999997E-2</v>
      </c>
      <c r="AA3" s="138"/>
    </row>
    <row r="4" spans="2:40" ht="51" x14ac:dyDescent="0.25">
      <c r="B4" s="497" t="s">
        <v>453</v>
      </c>
      <c r="C4" s="396" t="str">
        <f>INDEX('Typology Baseline - climate adj'!$D4:$D$8,MATCH($C$3,'Typology Baseline - climate adj'!$A$4:$A$8,0))</f>
        <v>DC</v>
      </c>
      <c r="F4" s="616" t="s">
        <v>510</v>
      </c>
      <c r="G4" s="501">
        <v>0.3</v>
      </c>
      <c r="H4" s="263"/>
      <c r="Y4" s="498" t="s">
        <v>454</v>
      </c>
      <c r="Z4" s="499">
        <f>INDEX(Readme!$K$30:$K$33,MATCH(C4,Readme!$D$30:$D$33,0))</f>
        <v>0.19158711550270752</v>
      </c>
      <c r="AA4" s="500" t="s">
        <v>455</v>
      </c>
    </row>
    <row r="5" spans="2:40" ht="25.5" x14ac:dyDescent="0.25">
      <c r="B5" s="622"/>
      <c r="F5" s="616" t="s">
        <v>511</v>
      </c>
      <c r="G5" s="501">
        <v>0</v>
      </c>
      <c r="H5" s="263"/>
      <c r="Y5" s="498" t="s">
        <v>456</v>
      </c>
      <c r="Z5" s="499">
        <f>IF(Z4/2&lt;Z6,Z6,Z4/2)</f>
        <v>9.5793557751353758E-2</v>
      </c>
      <c r="AA5" s="224" t="str">
        <f>TEXT((Z4-Z5)/Z4,"##%")&amp;" lower than today"</f>
        <v>50% lower than today</v>
      </c>
    </row>
    <row r="6" spans="2:40" ht="38.25" x14ac:dyDescent="0.25">
      <c r="B6" s="622"/>
      <c r="F6" s="616" t="s">
        <v>512</v>
      </c>
      <c r="G6" s="501">
        <v>0</v>
      </c>
      <c r="H6" s="263"/>
      <c r="Y6" s="498" t="s">
        <v>457</v>
      </c>
      <c r="Z6" s="499">
        <f>Readme!L32</f>
        <v>2.6955815986857323E-3</v>
      </c>
      <c r="AA6" s="557" t="s">
        <v>1501</v>
      </c>
    </row>
    <row r="7" spans="2:40" ht="15" x14ac:dyDescent="0.25">
      <c r="B7" s="623" t="s">
        <v>1551</v>
      </c>
      <c r="C7" s="501">
        <v>0</v>
      </c>
      <c r="F7" s="616" t="s">
        <v>173</v>
      </c>
      <c r="G7" s="501">
        <v>0</v>
      </c>
      <c r="H7" s="263"/>
    </row>
    <row r="8" spans="2:40" ht="14.25" x14ac:dyDescent="0.2">
      <c r="B8" s="138"/>
      <c r="C8" s="138"/>
      <c r="D8" s="138"/>
    </row>
    <row r="9" spans="2:40" ht="18" x14ac:dyDescent="0.25">
      <c r="B9" s="576" t="s">
        <v>458</v>
      </c>
      <c r="C9" s="502" t="s">
        <v>459</v>
      </c>
      <c r="D9" s="502" t="s">
        <v>459</v>
      </c>
      <c r="E9" s="502" t="s">
        <v>460</v>
      </c>
      <c r="F9" s="502" t="s">
        <v>460</v>
      </c>
      <c r="G9" s="502" t="s">
        <v>461</v>
      </c>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DC</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DC: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627" t="s">
        <v>1553</v>
      </c>
      <c r="AC11" s="511" t="s">
        <v>479</v>
      </c>
      <c r="AD11" s="512" t="s">
        <v>480</v>
      </c>
      <c r="AE11" s="510" t="s">
        <v>481</v>
      </c>
      <c r="AF11" s="513" t="s">
        <v>482</v>
      </c>
      <c r="AG11" s="558" t="s">
        <v>1502</v>
      </c>
      <c r="AI11" s="506"/>
      <c r="AJ11" s="506"/>
      <c r="AK11" s="506"/>
      <c r="AL11" s="506"/>
      <c r="AM11" s="506"/>
      <c r="AN11" s="506"/>
    </row>
    <row r="12" spans="2:40" ht="15" x14ac:dyDescent="0.25">
      <c r="B12" s="367" t="s">
        <v>442</v>
      </c>
      <c r="C12" s="587">
        <v>8.8399999999999963</v>
      </c>
      <c r="D12" s="587">
        <v>35.360000000000007</v>
      </c>
      <c r="E12" s="588">
        <v>153</v>
      </c>
      <c r="F12" s="588">
        <v>28601738</v>
      </c>
      <c r="G12" s="587" t="b">
        <v>1</v>
      </c>
      <c r="H12" s="587" t="b">
        <v>1</v>
      </c>
      <c r="J12" s="138" t="str">
        <f>B36</f>
        <v>MF-New-Tall</v>
      </c>
      <c r="K12" s="514">
        <f>H36</f>
        <v>8.8399999999999963</v>
      </c>
      <c r="L12" s="515">
        <f>G36</f>
        <v>35.360000000000007</v>
      </c>
      <c r="M12" s="268">
        <f>F36</f>
        <v>44.2</v>
      </c>
      <c r="N12" s="514">
        <f t="shared" ref="N12:O14" si="0">V36</f>
        <v>7.9337042476355251</v>
      </c>
      <c r="O12" s="515">
        <f t="shared" si="0"/>
        <v>30.056000000000004</v>
      </c>
      <c r="P12" s="268">
        <f t="shared" ref="P12:P14" si="1">X36</f>
        <v>37.98970424763553</v>
      </c>
      <c r="Q12" s="514">
        <v>0</v>
      </c>
      <c r="R12" s="515">
        <f t="shared" ref="R12:R30" si="2">Z36+AA36</f>
        <v>33.251049412497409</v>
      </c>
      <c r="S12" s="268">
        <f t="shared" ref="S12:S30" si="3">AB36</f>
        <v>33.251049412497409</v>
      </c>
      <c r="T12" s="514">
        <v>0</v>
      </c>
      <c r="U12" s="515">
        <f t="shared" ref="U12:U30" si="4">AJ36+AK36</f>
        <v>31.278455436593799</v>
      </c>
      <c r="V12" s="268">
        <f>U12+T12</f>
        <v>31.278455436593799</v>
      </c>
      <c r="W12" s="263"/>
      <c r="Y12" s="516" t="str">
        <f t="shared" ref="Y12:Y30" si="5">J12</f>
        <v>MF-New-Tall</v>
      </c>
      <c r="Z12" s="517">
        <f t="shared" ref="Z12:Z30" si="6">K12*$Z$3+L12*$Z$4</f>
        <v>7.244012804175739</v>
      </c>
      <c r="AA12" s="518">
        <f t="shared" ref="AA12:AA30" si="7">N12*$Z$3+O12*$Z$5</f>
        <v>3.3005302043666118</v>
      </c>
      <c r="AB12" s="519">
        <f t="shared" ref="AB12:AB30" si="8">Q12*$Z$3+R12*$Z$6</f>
        <v>8.9630916933318053E-2</v>
      </c>
      <c r="AC12" s="520">
        <f t="shared" ref="AC12:AD27" si="9">AN36</f>
        <v>1.3542969426686682</v>
      </c>
      <c r="AD12" s="521">
        <f t="shared" si="9"/>
        <v>4.7869303994530874</v>
      </c>
      <c r="AE12" s="522">
        <f t="shared" ref="AE12:AE14" si="10">AD12/AC12-1</f>
        <v>2.5346239429739454</v>
      </c>
      <c r="AF12" s="523">
        <f t="shared" ref="AF12:AF14" si="11">(AD12-AC12)/(Z12-AB12)</f>
        <v>0.479794552609141</v>
      </c>
      <c r="AG12" s="523">
        <f t="shared" ref="AG12:AG30" si="12">(AD12-AC12)/(N12)</f>
        <v>0.43266466074878501</v>
      </c>
      <c r="AI12" s="506"/>
      <c r="AJ12" s="524"/>
      <c r="AK12" s="524">
        <f>M12</f>
        <v>44.2</v>
      </c>
      <c r="AL12" s="524">
        <f>P12</f>
        <v>37.98970424763553</v>
      </c>
      <c r="AM12" s="524">
        <f>S12</f>
        <v>33.251049412497409</v>
      </c>
      <c r="AN12" s="524">
        <f>V12</f>
        <v>31.278455436593799</v>
      </c>
    </row>
    <row r="13" spans="2:40" ht="15" x14ac:dyDescent="0.25">
      <c r="B13" s="367" t="s">
        <v>440</v>
      </c>
      <c r="C13" s="587">
        <v>44.239999999999995</v>
      </c>
      <c r="D13" s="587">
        <v>18.960000000000004</v>
      </c>
      <c r="E13" s="588">
        <v>289</v>
      </c>
      <c r="F13" s="588">
        <v>47296920</v>
      </c>
      <c r="G13" s="587" t="b">
        <v>1</v>
      </c>
      <c r="H13" s="587" t="b">
        <v>1</v>
      </c>
      <c r="J13" s="138" t="str">
        <f>B37</f>
        <v>MF-Old-Tall</v>
      </c>
      <c r="K13" s="514">
        <f>H37</f>
        <v>44.239999999999995</v>
      </c>
      <c r="L13" s="515">
        <f>G37</f>
        <v>18.960000000000004</v>
      </c>
      <c r="M13" s="268">
        <f>F37</f>
        <v>63.2</v>
      </c>
      <c r="N13" s="514">
        <f t="shared" si="0"/>
        <v>39.003291465778048</v>
      </c>
      <c r="O13" s="515">
        <f t="shared" si="0"/>
        <v>16.116000000000003</v>
      </c>
      <c r="P13" s="268">
        <f t="shared" si="1"/>
        <v>55.119291465778048</v>
      </c>
      <c r="Q13" s="514">
        <v>0</v>
      </c>
      <c r="R13" s="515">
        <f t="shared" si="2"/>
        <v>31.617767089016759</v>
      </c>
      <c r="S13" s="268">
        <f t="shared" si="3"/>
        <v>31.617767089016759</v>
      </c>
      <c r="T13" s="514">
        <v>0</v>
      </c>
      <c r="U13" s="515">
        <f t="shared" si="4"/>
        <v>29.909607046114978</v>
      </c>
      <c r="V13" s="268">
        <f t="shared" ref="V13:V30" si="13">U13+T13</f>
        <v>29.909607046114978</v>
      </c>
      <c r="W13" s="263"/>
      <c r="Y13" s="516" t="str">
        <f t="shared" si="5"/>
        <v>MF-Old-Tall</v>
      </c>
      <c r="Z13" s="517">
        <f t="shared" si="6"/>
        <v>5.9820781099313347</v>
      </c>
      <c r="AA13" s="518">
        <f t="shared" si="7"/>
        <v>3.6152737864682893</v>
      </c>
      <c r="AB13" s="519">
        <f t="shared" si="8"/>
        <v>8.5228271156684923E-2</v>
      </c>
      <c r="AC13" s="520">
        <f t="shared" si="9"/>
        <v>6.5859562659195774</v>
      </c>
      <c r="AD13" s="521">
        <f t="shared" si="9"/>
        <v>25.687431308517553</v>
      </c>
      <c r="AE13" s="522">
        <f t="shared" si="10"/>
        <v>2.9003343282801004</v>
      </c>
      <c r="AF13" s="523">
        <f t="shared" si="11"/>
        <v>3.2392676708496975</v>
      </c>
      <c r="AG13" s="523">
        <f t="shared" si="12"/>
        <v>0.48974007897148469</v>
      </c>
      <c r="AI13" s="506"/>
      <c r="AJ13" s="524"/>
      <c r="AK13" s="524">
        <f t="shared" ref="AK13:AK30" si="14">M13</f>
        <v>63.2</v>
      </c>
      <c r="AL13" s="524">
        <f t="shared" ref="AL13:AL30" si="15">P13</f>
        <v>55.119291465778048</v>
      </c>
      <c r="AM13" s="524">
        <f t="shared" ref="AM13:AM30" si="16">S13</f>
        <v>31.617767089016759</v>
      </c>
      <c r="AN13" s="524">
        <f t="shared" ref="AN13:AN30" si="17">V13</f>
        <v>29.909607046114978</v>
      </c>
    </row>
    <row r="14" spans="2:40" ht="15" x14ac:dyDescent="0.25">
      <c r="B14" s="367" t="s">
        <v>444</v>
      </c>
      <c r="C14" s="587">
        <v>35.28</v>
      </c>
      <c r="D14" s="587">
        <v>23.52</v>
      </c>
      <c r="E14" s="588">
        <v>173</v>
      </c>
      <c r="F14" s="588">
        <v>22869495.5</v>
      </c>
      <c r="G14" s="587" t="b">
        <v>1</v>
      </c>
      <c r="H14" s="587" t="b">
        <v>1</v>
      </c>
      <c r="J14" s="138" t="str">
        <f>B38</f>
        <v>MF-Short</v>
      </c>
      <c r="K14" s="514">
        <f>H38</f>
        <v>35.28</v>
      </c>
      <c r="L14" s="515">
        <f>G38</f>
        <v>23.52</v>
      </c>
      <c r="M14" s="268">
        <f>F38</f>
        <v>58.8</v>
      </c>
      <c r="N14" s="514">
        <f t="shared" si="0"/>
        <v>31.413731215343176</v>
      </c>
      <c r="O14" s="515">
        <f t="shared" si="0"/>
        <v>19.992000000000001</v>
      </c>
      <c r="P14" s="268">
        <f t="shared" si="1"/>
        <v>51.405731215343181</v>
      </c>
      <c r="Q14" s="514">
        <v>0</v>
      </c>
      <c r="R14" s="515">
        <f t="shared" si="2"/>
        <v>32.650633772421642</v>
      </c>
      <c r="S14" s="268">
        <f t="shared" si="3"/>
        <v>32.650633772421642</v>
      </c>
      <c r="T14" s="514">
        <v>0</v>
      </c>
      <c r="U14" s="515">
        <f t="shared" si="4"/>
        <v>31.548764135715416</v>
      </c>
      <c r="V14" s="268">
        <f t="shared" si="13"/>
        <v>31.548764135715416</v>
      </c>
      <c r="W14" s="263"/>
      <c r="Y14" s="516" t="str">
        <f t="shared" si="5"/>
        <v>MF-Short</v>
      </c>
      <c r="Z14" s="517">
        <f t="shared" si="6"/>
        <v>6.3798497566236811</v>
      </c>
      <c r="AA14" s="518">
        <f t="shared" si="7"/>
        <v>3.5834880714119404</v>
      </c>
      <c r="AB14" s="519">
        <f t="shared" si="8"/>
        <v>8.801244758236669E-2</v>
      </c>
      <c r="AC14" s="520">
        <f t="shared" si="9"/>
        <v>5.6010868810725949</v>
      </c>
      <c r="AD14" s="521">
        <f t="shared" si="9"/>
        <v>19.918932806706731</v>
      </c>
      <c r="AE14" s="522">
        <f t="shared" si="10"/>
        <v>2.5562620665673914</v>
      </c>
      <c r="AF14" s="523">
        <f t="shared" si="11"/>
        <v>2.275622401275303</v>
      </c>
      <c r="AG14" s="523">
        <f t="shared" si="12"/>
        <v>0.45578304046355933</v>
      </c>
      <c r="AI14" s="506"/>
      <c r="AJ14" s="524"/>
      <c r="AK14" s="524">
        <f t="shared" si="14"/>
        <v>58.8</v>
      </c>
      <c r="AL14" s="524">
        <f t="shared" si="15"/>
        <v>51.405731215343181</v>
      </c>
      <c r="AM14" s="524">
        <f t="shared" si="16"/>
        <v>32.650633772421642</v>
      </c>
      <c r="AN14" s="524">
        <f t="shared" si="17"/>
        <v>31.548764135715416</v>
      </c>
    </row>
    <row r="15" spans="2:40" ht="15" x14ac:dyDescent="0.25">
      <c r="B15" s="367" t="s">
        <v>111</v>
      </c>
      <c r="C15" s="587">
        <v>26.759999999999998</v>
      </c>
      <c r="D15" s="587">
        <v>40.140000000000008</v>
      </c>
      <c r="E15" s="588">
        <v>161</v>
      </c>
      <c r="F15" s="588">
        <v>29184618.5</v>
      </c>
      <c r="G15" s="587" t="b">
        <v>1</v>
      </c>
      <c r="H15" s="587" t="b">
        <v>1</v>
      </c>
      <c r="J15" s="138" t="str">
        <f t="shared" ref="J15:J30" si="18">B39</f>
        <v>Education</v>
      </c>
      <c r="K15" s="514">
        <f t="shared" ref="K15:K30" si="19">H39</f>
        <v>26.759999999999998</v>
      </c>
      <c r="L15" s="515">
        <f t="shared" ref="L15:L30" si="20">G39</f>
        <v>40.140000000000008</v>
      </c>
      <c r="M15" s="268">
        <f t="shared" ref="M15:M30" si="21">F39</f>
        <v>66.900000000000006</v>
      </c>
      <c r="N15" s="514">
        <f t="shared" ref="N15:P30" si="22">V39</f>
        <v>21.867982702702697</v>
      </c>
      <c r="O15" s="515">
        <f t="shared" si="22"/>
        <v>34.119000000000007</v>
      </c>
      <c r="P15" s="268">
        <f t="shared" si="22"/>
        <v>55.986982702702704</v>
      </c>
      <c r="Q15" s="514">
        <v>0</v>
      </c>
      <c r="R15" s="515">
        <f t="shared" si="2"/>
        <v>44.24618803246527</v>
      </c>
      <c r="S15" s="268">
        <f t="shared" si="3"/>
        <v>44.24618803246527</v>
      </c>
      <c r="T15" s="514">
        <v>0</v>
      </c>
      <c r="U15" s="515">
        <f t="shared" si="4"/>
        <v>44.735347118644299</v>
      </c>
      <c r="V15" s="268">
        <f t="shared" si="13"/>
        <v>44.735347118644299</v>
      </c>
      <c r="W15" s="263"/>
      <c r="Y15" s="516" t="str">
        <f t="shared" si="5"/>
        <v>Education</v>
      </c>
      <c r="Z15" s="517">
        <f t="shared" si="6"/>
        <v>9.111530416278681</v>
      </c>
      <c r="AA15" s="518">
        <f t="shared" si="7"/>
        <v>4.42978895825898</v>
      </c>
      <c r="AB15" s="519">
        <f t="shared" si="8"/>
        <v>0.11926921027230225</v>
      </c>
      <c r="AC15" s="520">
        <f t="shared" si="9"/>
        <v>5.7368642152449913</v>
      </c>
      <c r="AD15" s="521">
        <f t="shared" si="9"/>
        <v>21.32202785776148</v>
      </c>
      <c r="AE15" s="522">
        <f>AD15/AC15-1</f>
        <v>2.7166694308540347</v>
      </c>
      <c r="AF15" s="523">
        <f>(AD15-AC15)/(Z15-AB15)</f>
        <v>1.7331751475486923</v>
      </c>
      <c r="AG15" s="523">
        <f t="shared" si="12"/>
        <v>0.71269324904808407</v>
      </c>
      <c r="AI15" s="506"/>
      <c r="AJ15" s="524"/>
      <c r="AK15" s="524">
        <f t="shared" si="14"/>
        <v>66.900000000000006</v>
      </c>
      <c r="AL15" s="524">
        <f t="shared" si="15"/>
        <v>55.986982702702704</v>
      </c>
      <c r="AM15" s="524">
        <f t="shared" si="16"/>
        <v>44.24618803246527</v>
      </c>
      <c r="AN15" s="524">
        <f t="shared" si="17"/>
        <v>44.735347118644299</v>
      </c>
    </row>
    <row r="16" spans="2:40" ht="15" x14ac:dyDescent="0.25">
      <c r="B16" s="367" t="s">
        <v>393</v>
      </c>
      <c r="C16" s="587">
        <v>58.484999999999985</v>
      </c>
      <c r="D16" s="587">
        <v>136.465</v>
      </c>
      <c r="E16" s="588">
        <v>14</v>
      </c>
      <c r="F16" s="588">
        <v>843823</v>
      </c>
      <c r="G16" s="587" t="b">
        <v>1</v>
      </c>
      <c r="H16" s="587" t="b">
        <v>1</v>
      </c>
      <c r="J16" s="138" t="str">
        <f t="shared" si="18"/>
        <v>Food sales</v>
      </c>
      <c r="K16" s="514">
        <f t="shared" si="19"/>
        <v>58.484999999999985</v>
      </c>
      <c r="L16" s="515">
        <f t="shared" si="20"/>
        <v>136.465</v>
      </c>
      <c r="M16" s="268">
        <f t="shared" si="21"/>
        <v>194.95</v>
      </c>
      <c r="N16" s="514">
        <f t="shared" si="22"/>
        <v>49.804050487130127</v>
      </c>
      <c r="O16" s="515">
        <f t="shared" si="22"/>
        <v>115.99525</v>
      </c>
      <c r="P16" s="268">
        <f t="shared" si="22"/>
        <v>165.79930048713013</v>
      </c>
      <c r="Q16" s="514">
        <v>0</v>
      </c>
      <c r="R16" s="515">
        <f t="shared" si="2"/>
        <v>139.77864095654644</v>
      </c>
      <c r="S16" s="268">
        <f t="shared" si="3"/>
        <v>139.77864095654644</v>
      </c>
      <c r="T16" s="514">
        <v>0</v>
      </c>
      <c r="U16" s="515">
        <f t="shared" si="4"/>
        <v>135.70267970986623</v>
      </c>
      <c r="V16" s="268">
        <f t="shared" si="13"/>
        <v>135.70267970986623</v>
      </c>
      <c r="W16" s="263"/>
      <c r="Y16" s="516" t="str">
        <f t="shared" si="5"/>
        <v>Food sales</v>
      </c>
      <c r="Z16" s="517">
        <f t="shared" si="6"/>
        <v>29.251074067076981</v>
      </c>
      <c r="AA16" s="518">
        <f t="shared" si="7"/>
        <v>13.756690801129198</v>
      </c>
      <c r="AB16" s="519">
        <f t="shared" si="8"/>
        <v>0.37678473245176641</v>
      </c>
      <c r="AC16" s="520">
        <f t="shared" si="9"/>
        <v>22.983402492314873</v>
      </c>
      <c r="AD16" s="521">
        <f t="shared" si="9"/>
        <v>49.412340847604042</v>
      </c>
      <c r="AE16" s="522">
        <f>AD16/AC16-1</f>
        <v>1.149914089705665</v>
      </c>
      <c r="AF16" s="523">
        <f>(AD16-AC16)/(Z16-AB16)</f>
        <v>0.91531043583456617</v>
      </c>
      <c r="AG16" s="523">
        <f t="shared" si="12"/>
        <v>0.53065841225341048</v>
      </c>
      <c r="AI16" s="506"/>
      <c r="AJ16" s="524"/>
      <c r="AK16" s="524">
        <f t="shared" si="14"/>
        <v>194.95</v>
      </c>
      <c r="AL16" s="524">
        <f t="shared" si="15"/>
        <v>165.79930048713013</v>
      </c>
      <c r="AM16" s="524">
        <f t="shared" si="16"/>
        <v>139.77864095654644</v>
      </c>
      <c r="AN16" s="524">
        <f t="shared" si="17"/>
        <v>135.70267970986623</v>
      </c>
    </row>
    <row r="17" spans="2:40" ht="15" x14ac:dyDescent="0.25">
      <c r="B17" s="367" t="s">
        <v>403</v>
      </c>
      <c r="C17" s="587">
        <v>11.619999999999997</v>
      </c>
      <c r="D17" s="587">
        <v>46.480000000000004</v>
      </c>
      <c r="E17" s="588">
        <v>1</v>
      </c>
      <c r="F17" s="588">
        <v>140000</v>
      </c>
      <c r="G17" s="587" t="b">
        <v>1</v>
      </c>
      <c r="H17" s="587" t="b">
        <v>1</v>
      </c>
      <c r="J17" s="138" t="str">
        <f t="shared" si="18"/>
        <v>Food service</v>
      </c>
      <c r="K17" s="514">
        <f t="shared" si="19"/>
        <v>180.02694716531704</v>
      </c>
      <c r="L17" s="515">
        <f t="shared" si="20"/>
        <v>91.26746987951806</v>
      </c>
      <c r="M17" s="268">
        <f t="shared" si="21"/>
        <v>271.29441704483509</v>
      </c>
      <c r="N17" s="514">
        <f t="shared" si="22"/>
        <v>171.82265703549984</v>
      </c>
      <c r="O17" s="515">
        <f t="shared" si="22"/>
        <v>77.577349397590353</v>
      </c>
      <c r="P17" s="268">
        <f t="shared" si="22"/>
        <v>249.4000064330902</v>
      </c>
      <c r="Q17" s="514">
        <v>0</v>
      </c>
      <c r="R17" s="515">
        <f t="shared" si="2"/>
        <v>169.21623294792374</v>
      </c>
      <c r="S17" s="268">
        <f t="shared" si="3"/>
        <v>169.21623294792374</v>
      </c>
      <c r="T17" s="514">
        <v>0</v>
      </c>
      <c r="U17" s="515">
        <f t="shared" si="4"/>
        <v>163.40108493300229</v>
      </c>
      <c r="V17" s="268">
        <f t="shared" si="13"/>
        <v>163.40108493300229</v>
      </c>
      <c r="W17" s="263"/>
      <c r="Y17" s="516" t="str">
        <f t="shared" si="5"/>
        <v>Food service</v>
      </c>
      <c r="Z17" s="517">
        <f t="shared" si="6"/>
        <v>27.046902457397092</v>
      </c>
      <c r="AA17" s="518">
        <f t="shared" si="7"/>
        <v>16.556911614870415</v>
      </c>
      <c r="AB17" s="519">
        <f t="shared" si="8"/>
        <v>0.45613616373334159</v>
      </c>
      <c r="AC17" s="520">
        <f t="shared" si="9"/>
        <v>93.930939087464296</v>
      </c>
      <c r="AD17" s="521">
        <f t="shared" si="9"/>
        <v>120.02694057156759</v>
      </c>
      <c r="AE17" s="522">
        <f t="shared" ref="AE17:AE30" si="23">AD17/AC17-1</f>
        <v>0.27782114964062976</v>
      </c>
      <c r="AF17" s="523">
        <f t="shared" ref="AF17:AF30" si="24">(AD17-AC17)/(Z17-AB17)</f>
        <v>0.98139336023278312</v>
      </c>
      <c r="AG17" s="523">
        <f t="shared" si="12"/>
        <v>0.15187753428066048</v>
      </c>
      <c r="AI17" s="506"/>
      <c r="AJ17" s="524"/>
      <c r="AK17" s="524">
        <f t="shared" si="14"/>
        <v>271.29441704483509</v>
      </c>
      <c r="AL17" s="524">
        <f t="shared" si="15"/>
        <v>249.4000064330902</v>
      </c>
      <c r="AM17" s="524">
        <f t="shared" si="16"/>
        <v>169.21623294792374</v>
      </c>
      <c r="AN17" s="524">
        <f t="shared" si="17"/>
        <v>163.40108493300229</v>
      </c>
    </row>
    <row r="18" spans="2:40" ht="15" x14ac:dyDescent="0.25">
      <c r="B18" s="367" t="s">
        <v>483</v>
      </c>
      <c r="C18" s="587">
        <v>93.259999999999991</v>
      </c>
      <c r="D18" s="587">
        <v>139.89000000000001</v>
      </c>
      <c r="E18" s="588">
        <v>6</v>
      </c>
      <c r="F18" s="588">
        <v>3933477</v>
      </c>
      <c r="G18" s="587" t="b">
        <v>1</v>
      </c>
      <c r="H18" s="587" t="b">
        <v>1</v>
      </c>
      <c r="J18" s="138" t="str">
        <f t="shared" si="18"/>
        <v>Health care Inpatient</v>
      </c>
      <c r="K18" s="514">
        <f t="shared" si="19"/>
        <v>120.26057293136836</v>
      </c>
      <c r="L18" s="515">
        <f t="shared" si="20"/>
        <v>98.562650602409633</v>
      </c>
      <c r="M18" s="268">
        <f t="shared" si="21"/>
        <v>218.82322353377799</v>
      </c>
      <c r="N18" s="514">
        <f t="shared" si="22"/>
        <v>103.97854925385471</v>
      </c>
      <c r="O18" s="515">
        <f t="shared" si="22"/>
        <v>83.778253012048182</v>
      </c>
      <c r="P18" s="268">
        <f t="shared" si="22"/>
        <v>187.75680226590288</v>
      </c>
      <c r="Q18" s="514">
        <v>0</v>
      </c>
      <c r="R18" s="515">
        <f t="shared" si="2"/>
        <v>136.17286147292964</v>
      </c>
      <c r="S18" s="268">
        <f t="shared" si="3"/>
        <v>136.17286147292964</v>
      </c>
      <c r="T18" s="514">
        <v>0</v>
      </c>
      <c r="U18" s="515">
        <f t="shared" si="4"/>
        <v>127.14259242467561</v>
      </c>
      <c r="V18" s="268">
        <f t="shared" si="13"/>
        <v>127.14259242467561</v>
      </c>
      <c r="W18" s="263"/>
      <c r="Y18" s="516" t="str">
        <f t="shared" si="5"/>
        <v>Health care Inpatient</v>
      </c>
      <c r="Z18" s="517">
        <f t="shared" si="6"/>
        <v>25.270372953601832</v>
      </c>
      <c r="AA18" s="518">
        <f t="shared" si="7"/>
        <v>13.547717669089387</v>
      </c>
      <c r="AB18" s="519">
        <f t="shared" si="8"/>
        <v>0.36706505962681046</v>
      </c>
      <c r="AC18" s="520">
        <f t="shared" si="9"/>
        <v>33.326662786075886</v>
      </c>
      <c r="AD18" s="521">
        <f t="shared" si="9"/>
        <v>86.12235031924908</v>
      </c>
      <c r="AE18" s="522">
        <f t="shared" si="23"/>
        <v>1.5841876479523056</v>
      </c>
      <c r="AF18" s="523">
        <f t="shared" si="24"/>
        <v>2.1200270967194004</v>
      </c>
      <c r="AG18" s="523">
        <f t="shared" si="12"/>
        <v>0.50775556989429671</v>
      </c>
      <c r="AI18" s="506"/>
      <c r="AJ18" s="524"/>
      <c r="AK18" s="524">
        <f t="shared" si="14"/>
        <v>218.82322353377799</v>
      </c>
      <c r="AL18" s="524">
        <f t="shared" si="15"/>
        <v>187.75680226590288</v>
      </c>
      <c r="AM18" s="524">
        <f t="shared" si="16"/>
        <v>136.17286147292964</v>
      </c>
      <c r="AN18" s="524">
        <f t="shared" si="17"/>
        <v>127.14259242467561</v>
      </c>
    </row>
    <row r="19" spans="2:40" ht="15" x14ac:dyDescent="0.25">
      <c r="B19" s="367" t="s">
        <v>484</v>
      </c>
      <c r="C19" s="587">
        <v>7.3199999999999932</v>
      </c>
      <c r="D19" s="587">
        <v>65.88000000000001</v>
      </c>
      <c r="E19" s="588">
        <v>12</v>
      </c>
      <c r="F19" s="588">
        <v>2077964</v>
      </c>
      <c r="G19" s="587" t="b">
        <v>1</v>
      </c>
      <c r="H19" s="587" t="b">
        <v>1</v>
      </c>
      <c r="J19" s="138" t="str">
        <f t="shared" si="18"/>
        <v>Health care Outpatient</v>
      </c>
      <c r="K19" s="514">
        <f t="shared" si="19"/>
        <v>7.3199999999999932</v>
      </c>
      <c r="L19" s="515">
        <f t="shared" si="20"/>
        <v>65.88000000000001</v>
      </c>
      <c r="M19" s="268">
        <f t="shared" si="21"/>
        <v>73.2</v>
      </c>
      <c r="N19" s="514">
        <f t="shared" si="22"/>
        <v>5.3567539336321737</v>
      </c>
      <c r="O19" s="515">
        <f t="shared" si="22"/>
        <v>55.998000000000005</v>
      </c>
      <c r="P19" s="268">
        <f t="shared" si="22"/>
        <v>61.354753933632182</v>
      </c>
      <c r="Q19" s="514">
        <v>0</v>
      </c>
      <c r="R19" s="515">
        <f t="shared" si="2"/>
        <v>57.781282123901555</v>
      </c>
      <c r="S19" s="268">
        <f t="shared" si="3"/>
        <v>57.781282123901555</v>
      </c>
      <c r="T19" s="514">
        <v>0</v>
      </c>
      <c r="U19" s="515">
        <f t="shared" si="4"/>
        <v>56.663360670804174</v>
      </c>
      <c r="V19" s="268">
        <f t="shared" si="13"/>
        <v>56.663360670804174</v>
      </c>
      <c r="W19" s="263"/>
      <c r="Y19" s="516" t="str">
        <f t="shared" si="5"/>
        <v>Health care Outpatient</v>
      </c>
      <c r="Z19" s="517">
        <f t="shared" si="6"/>
        <v>13.010524369318373</v>
      </c>
      <c r="AA19" s="518">
        <f t="shared" si="7"/>
        <v>5.6487448483755127</v>
      </c>
      <c r="AB19" s="519">
        <f t="shared" si="8"/>
        <v>0.15575416084165788</v>
      </c>
      <c r="AC19" s="520">
        <f t="shared" si="9"/>
        <v>0.72982313810768518</v>
      </c>
      <c r="AD19" s="521">
        <f t="shared" si="9"/>
        <v>6.9130072246958125</v>
      </c>
      <c r="AE19" s="522">
        <f t="shared" si="23"/>
        <v>8.4721677948168868</v>
      </c>
      <c r="AF19" s="523">
        <f t="shared" si="24"/>
        <v>0.48100308183734014</v>
      </c>
      <c r="AG19" s="523">
        <f t="shared" si="12"/>
        <v>1.1542781623339544</v>
      </c>
      <c r="AI19" s="506"/>
      <c r="AJ19" s="524"/>
      <c r="AK19" s="524">
        <f t="shared" si="14"/>
        <v>73.2</v>
      </c>
      <c r="AL19" s="524">
        <f t="shared" si="15"/>
        <v>61.354753933632182</v>
      </c>
      <c r="AM19" s="524">
        <f t="shared" si="16"/>
        <v>57.781282123901555</v>
      </c>
      <c r="AN19" s="524">
        <f t="shared" si="17"/>
        <v>56.663360670804174</v>
      </c>
    </row>
    <row r="20" spans="2:40" ht="15" x14ac:dyDescent="0.25">
      <c r="B20" s="367" t="s">
        <v>416</v>
      </c>
      <c r="C20" s="587">
        <v>34.439999999999991</v>
      </c>
      <c r="D20" s="587">
        <v>51.660000000000004</v>
      </c>
      <c r="E20" s="588">
        <v>155</v>
      </c>
      <c r="F20" s="588">
        <v>31174509.199999999</v>
      </c>
      <c r="G20" s="587" t="b">
        <v>1</v>
      </c>
      <c r="H20" s="587" t="b">
        <v>1</v>
      </c>
      <c r="J20" s="138" t="str">
        <f t="shared" si="18"/>
        <v>Lodging</v>
      </c>
      <c r="K20" s="514">
        <f t="shared" si="19"/>
        <v>34.439999999999991</v>
      </c>
      <c r="L20" s="515">
        <f t="shared" si="20"/>
        <v>51.660000000000004</v>
      </c>
      <c r="M20" s="268">
        <f t="shared" si="21"/>
        <v>86.1</v>
      </c>
      <c r="N20" s="514">
        <f t="shared" si="22"/>
        <v>31.657553457531293</v>
      </c>
      <c r="O20" s="515">
        <f t="shared" si="22"/>
        <v>43.911000000000001</v>
      </c>
      <c r="P20" s="268">
        <f t="shared" si="22"/>
        <v>75.568553457531294</v>
      </c>
      <c r="Q20" s="514">
        <v>0</v>
      </c>
      <c r="R20" s="515">
        <f t="shared" si="2"/>
        <v>58.673926429687249</v>
      </c>
      <c r="S20" s="268">
        <f t="shared" si="3"/>
        <v>58.673926429687249</v>
      </c>
      <c r="T20" s="514">
        <v>0</v>
      </c>
      <c r="U20" s="515">
        <f t="shared" si="4"/>
        <v>57.301383508000505</v>
      </c>
      <c r="V20" s="268">
        <f t="shared" si="13"/>
        <v>57.301383508000505</v>
      </c>
      <c r="W20" s="263"/>
      <c r="Y20" s="516" t="str">
        <f t="shared" si="5"/>
        <v>Lodging</v>
      </c>
      <c r="Z20" s="517">
        <f t="shared" si="6"/>
        <v>11.72649878686987</v>
      </c>
      <c r="AA20" s="518">
        <f t="shared" si="7"/>
        <v>5.8877235785491822</v>
      </c>
      <c r="AB20" s="519">
        <f t="shared" si="8"/>
        <v>0.15816035640650539</v>
      </c>
      <c r="AC20" s="520">
        <f t="shared" si="9"/>
        <v>6.2217079784135843</v>
      </c>
      <c r="AD20" s="521">
        <f t="shared" si="9"/>
        <v>17.176040671156606</v>
      </c>
      <c r="AE20" s="522">
        <f t="shared" si="23"/>
        <v>1.7606632665418291</v>
      </c>
      <c r="AF20" s="523">
        <f t="shared" si="24"/>
        <v>0.94692360174184942</v>
      </c>
      <c r="AG20" s="523">
        <f t="shared" si="12"/>
        <v>0.34602587680814612</v>
      </c>
      <c r="AI20" s="506"/>
      <c r="AJ20" s="524"/>
      <c r="AK20" s="524">
        <f t="shared" si="14"/>
        <v>86.1</v>
      </c>
      <c r="AL20" s="524">
        <f t="shared" si="15"/>
        <v>75.568553457531294</v>
      </c>
      <c r="AM20" s="524">
        <f t="shared" si="16"/>
        <v>58.673926429687249</v>
      </c>
      <c r="AN20" s="524">
        <f t="shared" si="17"/>
        <v>57.301383508000505</v>
      </c>
    </row>
    <row r="21" spans="2:40" ht="15" x14ac:dyDescent="0.25">
      <c r="B21" s="367" t="s">
        <v>485</v>
      </c>
      <c r="C21" s="587">
        <v>0</v>
      </c>
      <c r="D21" s="587">
        <v>75.75</v>
      </c>
      <c r="E21" s="588">
        <v>6</v>
      </c>
      <c r="F21" s="588">
        <v>886143</v>
      </c>
      <c r="G21" s="587" t="b">
        <v>1</v>
      </c>
      <c r="H21" s="587" t="b">
        <v>1</v>
      </c>
      <c r="J21" s="138" t="str">
        <f t="shared" si="18"/>
        <v>Mercantile Enclosed and strip malls</v>
      </c>
      <c r="K21" s="514">
        <f t="shared" si="19"/>
        <v>49.612515657456072</v>
      </c>
      <c r="L21" s="515">
        <f t="shared" si="20"/>
        <v>68.324096385542177</v>
      </c>
      <c r="M21" s="268">
        <f t="shared" si="21"/>
        <v>117.93661204299825</v>
      </c>
      <c r="N21" s="514">
        <f t="shared" si="22"/>
        <v>44.580290150958348</v>
      </c>
      <c r="O21" s="515">
        <f t="shared" si="22"/>
        <v>58.075481927710847</v>
      </c>
      <c r="P21" s="268">
        <f t="shared" si="22"/>
        <v>102.6557720786692</v>
      </c>
      <c r="Q21" s="514">
        <v>0</v>
      </c>
      <c r="R21" s="515">
        <f t="shared" si="2"/>
        <v>81.012516751199144</v>
      </c>
      <c r="S21" s="268">
        <f t="shared" si="3"/>
        <v>81.012516751199144</v>
      </c>
      <c r="T21" s="514">
        <v>0</v>
      </c>
      <c r="U21" s="515">
        <f t="shared" si="4"/>
        <v>78.73627915941978</v>
      </c>
      <c r="V21" s="268">
        <f t="shared" si="13"/>
        <v>78.73627915941978</v>
      </c>
      <c r="W21" s="263"/>
      <c r="Y21" s="516" t="str">
        <f t="shared" si="5"/>
        <v>Mercantile Enclosed and strip malls</v>
      </c>
      <c r="Z21" s="517">
        <f t="shared" si="6"/>
        <v>15.724937252402482</v>
      </c>
      <c r="AA21" s="518">
        <f t="shared" si="7"/>
        <v>7.9309162418972683</v>
      </c>
      <c r="AB21" s="519">
        <f t="shared" si="8"/>
        <v>0.21837584941775207</v>
      </c>
      <c r="AC21" s="520">
        <f t="shared" si="9"/>
        <v>17.498957918862306</v>
      </c>
      <c r="AD21" s="521">
        <f t="shared" si="9"/>
        <v>33.946885114267189</v>
      </c>
      <c r="AE21" s="522">
        <f t="shared" si="23"/>
        <v>0.93993752494687088</v>
      </c>
      <c r="AF21" s="523">
        <f t="shared" si="24"/>
        <v>1.0607075784215421</v>
      </c>
      <c r="AG21" s="523">
        <f t="shared" si="12"/>
        <v>0.36895065374650327</v>
      </c>
      <c r="AI21" s="506"/>
      <c r="AJ21" s="524"/>
      <c r="AK21" s="524">
        <f t="shared" si="14"/>
        <v>117.93661204299825</v>
      </c>
      <c r="AL21" s="524">
        <f t="shared" si="15"/>
        <v>102.6557720786692</v>
      </c>
      <c r="AM21" s="524">
        <f t="shared" si="16"/>
        <v>81.012516751199144</v>
      </c>
      <c r="AN21" s="524">
        <f t="shared" si="17"/>
        <v>78.73627915941978</v>
      </c>
    </row>
    <row r="22" spans="2:40" ht="15" x14ac:dyDescent="0.25">
      <c r="B22" s="367" t="s">
        <v>486</v>
      </c>
      <c r="C22" s="587">
        <v>17.369999999999997</v>
      </c>
      <c r="D22" s="587">
        <v>40.53</v>
      </c>
      <c r="E22" s="588">
        <v>5</v>
      </c>
      <c r="F22" s="588">
        <v>1105881</v>
      </c>
      <c r="G22" s="587" t="b">
        <v>1</v>
      </c>
      <c r="H22" s="587" t="b">
        <v>1</v>
      </c>
      <c r="J22" s="138" t="str">
        <f t="shared" si="18"/>
        <v>Mercantile Retail (other than mall)</v>
      </c>
      <c r="K22" s="514">
        <f t="shared" si="19"/>
        <v>20.755953437911742</v>
      </c>
      <c r="L22" s="515">
        <f t="shared" si="20"/>
        <v>48.766265060240961</v>
      </c>
      <c r="M22" s="268">
        <f t="shared" si="21"/>
        <v>69.522218498152711</v>
      </c>
      <c r="N22" s="514">
        <f t="shared" si="22"/>
        <v>16.584832275512625</v>
      </c>
      <c r="O22" s="515">
        <f t="shared" si="22"/>
        <v>41.451325301204818</v>
      </c>
      <c r="P22" s="268">
        <f t="shared" si="22"/>
        <v>58.036157576717443</v>
      </c>
      <c r="Q22" s="514">
        <v>0</v>
      </c>
      <c r="R22" s="515">
        <f t="shared" si="2"/>
        <v>48.336849742712161</v>
      </c>
      <c r="S22" s="268">
        <f t="shared" si="3"/>
        <v>48.336849742712161</v>
      </c>
      <c r="T22" s="514">
        <v>0</v>
      </c>
      <c r="U22" s="515">
        <f t="shared" si="4"/>
        <v>47.343127954909747</v>
      </c>
      <c r="V22" s="268">
        <f t="shared" si="13"/>
        <v>47.343127954909747</v>
      </c>
      <c r="W22" s="263"/>
      <c r="Y22" s="516" t="str">
        <f t="shared" si="5"/>
        <v>Mercantile Retail (other than mall)</v>
      </c>
      <c r="Z22" s="517">
        <f t="shared" si="6"/>
        <v>10.445336743819526</v>
      </c>
      <c r="AA22" s="518">
        <f t="shared" si="7"/>
        <v>4.85159036626359</v>
      </c>
      <c r="AB22" s="519">
        <f t="shared" si="8"/>
        <v>0.13029592270489207</v>
      </c>
      <c r="AC22" s="520">
        <f t="shared" si="9"/>
        <v>5.2552079426365754</v>
      </c>
      <c r="AD22" s="521">
        <f t="shared" si="9"/>
        <v>18.267649097681122</v>
      </c>
      <c r="AE22" s="522">
        <f t="shared" si="23"/>
        <v>2.4761039519429771</v>
      </c>
      <c r="AF22" s="523">
        <f t="shared" si="24"/>
        <v>1.2615016635133816</v>
      </c>
      <c r="AG22" s="523">
        <f t="shared" si="12"/>
        <v>0.78459889969808827</v>
      </c>
      <c r="AI22" s="506"/>
      <c r="AJ22" s="524"/>
      <c r="AK22" s="524">
        <f t="shared" si="14"/>
        <v>69.522218498152711</v>
      </c>
      <c r="AL22" s="524">
        <f t="shared" si="15"/>
        <v>58.036157576717443</v>
      </c>
      <c r="AM22" s="524">
        <f t="shared" si="16"/>
        <v>48.336849742712161</v>
      </c>
      <c r="AN22" s="524">
        <f t="shared" si="17"/>
        <v>47.343127954909747</v>
      </c>
    </row>
    <row r="23" spans="2:40" ht="15" x14ac:dyDescent="0.25">
      <c r="B23" s="367" t="s">
        <v>425</v>
      </c>
      <c r="C23" s="587">
        <v>0.9</v>
      </c>
      <c r="D23" s="587">
        <v>60</v>
      </c>
      <c r="E23" s="588">
        <v>445</v>
      </c>
      <c r="F23" s="588">
        <v>106512888</v>
      </c>
      <c r="G23" s="587" t="b">
        <v>1</v>
      </c>
      <c r="H23" s="587" t="b">
        <v>1</v>
      </c>
      <c r="J23" s="138" t="str">
        <f t="shared" si="18"/>
        <v>Office</v>
      </c>
      <c r="K23" s="514">
        <f t="shared" si="19"/>
        <v>0.9</v>
      </c>
      <c r="L23" s="515">
        <f t="shared" si="20"/>
        <v>60</v>
      </c>
      <c r="M23" s="268">
        <f t="shared" si="21"/>
        <v>60.9</v>
      </c>
      <c r="N23" s="514">
        <f t="shared" si="22"/>
        <v>0.73702878098024271</v>
      </c>
      <c r="O23" s="515">
        <f t="shared" si="22"/>
        <v>51</v>
      </c>
      <c r="P23" s="268">
        <f t="shared" si="22"/>
        <v>51.737028780980239</v>
      </c>
      <c r="Q23" s="514">
        <v>0</v>
      </c>
      <c r="R23" s="515">
        <f t="shared" si="2"/>
        <v>51.38014462066382</v>
      </c>
      <c r="S23" s="268">
        <f t="shared" si="3"/>
        <v>51.38014462066382</v>
      </c>
      <c r="T23" s="514">
        <v>0</v>
      </c>
      <c r="U23" s="515">
        <f t="shared" si="4"/>
        <v>49.985273306613848</v>
      </c>
      <c r="V23" s="268">
        <f t="shared" si="13"/>
        <v>49.985273306613848</v>
      </c>
      <c r="W23" s="263"/>
      <c r="Y23" s="516" t="str">
        <f t="shared" si="5"/>
        <v>Office</v>
      </c>
      <c r="Z23" s="517">
        <f t="shared" si="6"/>
        <v>11.54302593016245</v>
      </c>
      <c r="AA23" s="518">
        <f t="shared" si="7"/>
        <v>4.9246150438769023</v>
      </c>
      <c r="AB23" s="519">
        <f t="shared" si="8"/>
        <v>0.13849937237727311</v>
      </c>
      <c r="AC23" s="520">
        <f t="shared" si="9"/>
        <v>0.21752530178854046</v>
      </c>
      <c r="AD23" s="521">
        <f t="shared" si="9"/>
        <v>0.72781320046006137</v>
      </c>
      <c r="AE23" s="522">
        <f t="shared" si="23"/>
        <v>2.3458783620839623</v>
      </c>
      <c r="AF23" s="523">
        <f t="shared" si="24"/>
        <v>4.4744329901461662E-2</v>
      </c>
      <c r="AG23" s="523">
        <f t="shared" si="12"/>
        <v>0.69235817086117302</v>
      </c>
      <c r="AI23" s="506"/>
      <c r="AJ23" s="524"/>
      <c r="AK23" s="524">
        <f t="shared" si="14"/>
        <v>60.9</v>
      </c>
      <c r="AL23" s="524">
        <f t="shared" si="15"/>
        <v>51.737028780980239</v>
      </c>
      <c r="AM23" s="524">
        <f t="shared" si="16"/>
        <v>51.38014462066382</v>
      </c>
      <c r="AN23" s="524">
        <f t="shared" si="17"/>
        <v>49.985273306613848</v>
      </c>
    </row>
    <row r="24" spans="2:40" ht="15" x14ac:dyDescent="0.25">
      <c r="B24" s="367" t="s">
        <v>173</v>
      </c>
      <c r="C24" s="587">
        <v>25.22999999999999</v>
      </c>
      <c r="D24" s="587">
        <v>58.870000000000005</v>
      </c>
      <c r="E24" s="588">
        <v>41</v>
      </c>
      <c r="F24" s="588">
        <v>6039572.7999999998</v>
      </c>
      <c r="G24" s="587" t="b">
        <v>1</v>
      </c>
      <c r="H24" s="587" t="b">
        <v>1</v>
      </c>
      <c r="J24" s="138" t="str">
        <f t="shared" si="18"/>
        <v>Other</v>
      </c>
      <c r="K24" s="514">
        <f t="shared" si="19"/>
        <v>25.22999999999999</v>
      </c>
      <c r="L24" s="515">
        <f t="shared" si="20"/>
        <v>58.870000000000005</v>
      </c>
      <c r="M24" s="268">
        <f t="shared" si="21"/>
        <v>84.1</v>
      </c>
      <c r="N24" s="514">
        <f t="shared" si="22"/>
        <v>18.096309862793756</v>
      </c>
      <c r="O24" s="515">
        <f t="shared" si="22"/>
        <v>50.039500000000004</v>
      </c>
      <c r="P24" s="268">
        <f t="shared" si="22"/>
        <v>68.135809862793764</v>
      </c>
      <c r="Q24" s="514">
        <v>0</v>
      </c>
      <c r="R24" s="515">
        <f t="shared" si="2"/>
        <v>55.959592994135789</v>
      </c>
      <c r="S24" s="268">
        <f t="shared" si="3"/>
        <v>55.959592994135789</v>
      </c>
      <c r="T24" s="514">
        <v>0</v>
      </c>
      <c r="U24" s="515">
        <f t="shared" si="4"/>
        <v>50.094489587052735</v>
      </c>
      <c r="V24" s="268">
        <f t="shared" si="13"/>
        <v>50.094489587052735</v>
      </c>
      <c r="W24" s="263"/>
      <c r="Y24" s="516" t="str">
        <f t="shared" si="5"/>
        <v>Other</v>
      </c>
      <c r="Z24" s="517">
        <f t="shared" si="6"/>
        <v>12.618698789644391</v>
      </c>
      <c r="AA24" s="518">
        <f t="shared" si="7"/>
        <v>5.7545567499118429</v>
      </c>
      <c r="AB24" s="519">
        <f t="shared" si="8"/>
        <v>0.15084364914493545</v>
      </c>
      <c r="AC24" s="520">
        <f t="shared" si="9"/>
        <v>2.5099233570186881</v>
      </c>
      <c r="AD24" s="521">
        <f t="shared" si="9"/>
        <v>24.804505816800535</v>
      </c>
      <c r="AE24" s="522">
        <f t="shared" si="23"/>
        <v>8.8825749987296714</v>
      </c>
      <c r="AF24" s="523">
        <f t="shared" si="24"/>
        <v>1.7881650218538501</v>
      </c>
      <c r="AG24" s="523">
        <f t="shared" si="12"/>
        <v>1.2319960604575959</v>
      </c>
      <c r="AI24" s="506"/>
      <c r="AJ24" s="524"/>
      <c r="AK24" s="524">
        <f t="shared" si="14"/>
        <v>84.1</v>
      </c>
      <c r="AL24" s="524">
        <f t="shared" si="15"/>
        <v>68.135809862793764</v>
      </c>
      <c r="AM24" s="524">
        <f t="shared" si="16"/>
        <v>55.959592994135789</v>
      </c>
      <c r="AN24" s="524">
        <f t="shared" si="17"/>
        <v>50.094489587052735</v>
      </c>
    </row>
    <row r="25" spans="2:40" ht="15" x14ac:dyDescent="0.25">
      <c r="B25" s="367" t="s">
        <v>427</v>
      </c>
      <c r="C25" s="587">
        <v>40.519999999999989</v>
      </c>
      <c r="D25" s="587">
        <v>60.780000000000008</v>
      </c>
      <c r="E25" s="588">
        <v>31</v>
      </c>
      <c r="F25" s="588">
        <v>2096698</v>
      </c>
      <c r="G25" s="587" t="b">
        <v>1</v>
      </c>
      <c r="H25" s="587" t="b">
        <v>1</v>
      </c>
      <c r="J25" s="138" t="str">
        <f t="shared" si="18"/>
        <v>Public assembly</v>
      </c>
      <c r="K25" s="514">
        <f t="shared" si="19"/>
        <v>40.519999999999989</v>
      </c>
      <c r="L25" s="515">
        <f t="shared" si="20"/>
        <v>60.780000000000008</v>
      </c>
      <c r="M25" s="268">
        <f t="shared" si="21"/>
        <v>101.3</v>
      </c>
      <c r="N25" s="514">
        <f t="shared" si="22"/>
        <v>32.104404211395533</v>
      </c>
      <c r="O25" s="515">
        <f t="shared" si="22"/>
        <v>51.663000000000004</v>
      </c>
      <c r="P25" s="268">
        <f t="shared" si="22"/>
        <v>83.76740421139553</v>
      </c>
      <c r="Q25" s="514">
        <v>0</v>
      </c>
      <c r="R25" s="515">
        <f t="shared" si="2"/>
        <v>66.37182441547337</v>
      </c>
      <c r="S25" s="268">
        <f t="shared" si="3"/>
        <v>66.37182441547337</v>
      </c>
      <c r="T25" s="514">
        <v>0</v>
      </c>
      <c r="U25" s="515">
        <f t="shared" si="4"/>
        <v>64.520225463596503</v>
      </c>
      <c r="V25" s="268">
        <f t="shared" si="13"/>
        <v>64.520225463596503</v>
      </c>
      <c r="W25" s="263"/>
      <c r="Y25" s="516" t="str">
        <f t="shared" si="5"/>
        <v>Public assembly</v>
      </c>
      <c r="Z25" s="517">
        <f t="shared" si="6"/>
        <v>13.796682080254564</v>
      </c>
      <c r="AA25" s="518">
        <f t="shared" si="7"/>
        <v>6.6540474817754056</v>
      </c>
      <c r="AB25" s="519">
        <f t="shared" si="8"/>
        <v>0.17891066856555043</v>
      </c>
      <c r="AC25" s="520">
        <f t="shared" si="9"/>
        <v>10.41209962998721</v>
      </c>
      <c r="AD25" s="521">
        <f t="shared" si="9"/>
        <v>36.344417883311827</v>
      </c>
      <c r="AE25" s="522">
        <f t="shared" si="23"/>
        <v>2.4905945174245772</v>
      </c>
      <c r="AF25" s="523">
        <f t="shared" si="24"/>
        <v>1.9042997175782543</v>
      </c>
      <c r="AG25" s="523">
        <f t="shared" si="12"/>
        <v>0.8077495561845649</v>
      </c>
      <c r="AI25" s="506"/>
      <c r="AJ25" s="524"/>
      <c r="AK25" s="524">
        <f t="shared" si="14"/>
        <v>101.3</v>
      </c>
      <c r="AL25" s="524">
        <f t="shared" si="15"/>
        <v>83.76740421139553</v>
      </c>
      <c r="AM25" s="524">
        <f t="shared" si="16"/>
        <v>66.37182441547337</v>
      </c>
      <c r="AN25" s="524">
        <f t="shared" si="17"/>
        <v>64.520225463596503</v>
      </c>
    </row>
    <row r="26" spans="2:40" ht="15" x14ac:dyDescent="0.25">
      <c r="B26" s="367" t="s">
        <v>488</v>
      </c>
      <c r="C26" s="587">
        <v>34.879999999999995</v>
      </c>
      <c r="D26" s="587">
        <v>52.320000000000007</v>
      </c>
      <c r="E26" s="588">
        <v>37</v>
      </c>
      <c r="F26" s="588">
        <v>1416930</v>
      </c>
      <c r="G26" s="587" t="b">
        <v>1</v>
      </c>
      <c r="H26" s="587" t="b">
        <v>1</v>
      </c>
      <c r="J26" s="138" t="str">
        <f t="shared" si="18"/>
        <v>Public order and safety</v>
      </c>
      <c r="K26" s="514">
        <f t="shared" si="19"/>
        <v>34.879999999999995</v>
      </c>
      <c r="L26" s="515">
        <f t="shared" si="20"/>
        <v>52.320000000000007</v>
      </c>
      <c r="M26" s="268">
        <f t="shared" si="21"/>
        <v>87.2</v>
      </c>
      <c r="N26" s="514">
        <f t="shared" si="22"/>
        <v>30.006526400798073</v>
      </c>
      <c r="O26" s="515">
        <f t="shared" si="22"/>
        <v>44.472000000000008</v>
      </c>
      <c r="P26" s="268">
        <f t="shared" si="22"/>
        <v>74.478526400798074</v>
      </c>
      <c r="Q26" s="514">
        <v>0</v>
      </c>
      <c r="R26" s="515">
        <f t="shared" si="2"/>
        <v>56.258473753371007</v>
      </c>
      <c r="S26" s="268">
        <f t="shared" si="3"/>
        <v>56.258473753371007</v>
      </c>
      <c r="T26" s="514">
        <v>0</v>
      </c>
      <c r="U26" s="515">
        <f t="shared" si="4"/>
        <v>53.92507379786052</v>
      </c>
      <c r="V26" s="268">
        <f t="shared" si="13"/>
        <v>53.92507379786052</v>
      </c>
      <c r="W26" s="263"/>
      <c r="Y26" s="516" t="str">
        <f t="shared" si="5"/>
        <v>Public order and safety</v>
      </c>
      <c r="Z26" s="517">
        <f t="shared" si="6"/>
        <v>11.876314683101658</v>
      </c>
      <c r="AA26" s="518">
        <f t="shared" si="7"/>
        <v>5.85377771746459</v>
      </c>
      <c r="AB26" s="519">
        <f t="shared" si="8"/>
        <v>0.15164930661973114</v>
      </c>
      <c r="AC26" s="520">
        <f t="shared" si="9"/>
        <v>5.2594737693857541</v>
      </c>
      <c r="AD26" s="521">
        <f t="shared" si="9"/>
        <v>22.295086206840288</v>
      </c>
      <c r="AE26" s="522">
        <f t="shared" si="23"/>
        <v>3.2390336342420998</v>
      </c>
      <c r="AF26" s="523">
        <f t="shared" si="24"/>
        <v>1.452972165126831</v>
      </c>
      <c r="AG26" s="523">
        <f t="shared" si="12"/>
        <v>0.56773024007875317</v>
      </c>
      <c r="AI26" s="506"/>
      <c r="AJ26" s="524"/>
      <c r="AK26" s="524">
        <f t="shared" si="14"/>
        <v>87.2</v>
      </c>
      <c r="AL26" s="524">
        <f t="shared" si="15"/>
        <v>74.478526400798074</v>
      </c>
      <c r="AM26" s="524">
        <f t="shared" si="16"/>
        <v>56.258473753371007</v>
      </c>
      <c r="AN26" s="524">
        <f t="shared" si="17"/>
        <v>53.92507379786052</v>
      </c>
    </row>
    <row r="27" spans="2:40" ht="15" x14ac:dyDescent="0.25">
      <c r="B27" s="367" t="s">
        <v>431</v>
      </c>
      <c r="C27" s="587">
        <v>26.122499999999995</v>
      </c>
      <c r="D27" s="587">
        <v>31.927500000000002</v>
      </c>
      <c r="E27" s="588">
        <v>14</v>
      </c>
      <c r="F27" s="588">
        <v>1588064</v>
      </c>
      <c r="G27" s="587" t="b">
        <v>1</v>
      </c>
      <c r="H27" s="587" t="b">
        <v>1</v>
      </c>
      <c r="J27" s="138" t="str">
        <f t="shared" si="18"/>
        <v>Religious worship</v>
      </c>
      <c r="K27" s="514">
        <f t="shared" si="19"/>
        <v>26.122499999999995</v>
      </c>
      <c r="L27" s="515">
        <f t="shared" si="20"/>
        <v>31.927500000000002</v>
      </c>
      <c r="M27" s="268">
        <f t="shared" si="21"/>
        <v>58.05</v>
      </c>
      <c r="N27" s="514">
        <f t="shared" si="22"/>
        <v>19.933534831522937</v>
      </c>
      <c r="O27" s="515">
        <f t="shared" si="22"/>
        <v>27.138375</v>
      </c>
      <c r="P27" s="268">
        <f t="shared" si="22"/>
        <v>47.071909831522937</v>
      </c>
      <c r="Q27" s="514">
        <v>0</v>
      </c>
      <c r="R27" s="515">
        <f t="shared" si="2"/>
        <v>35.1055804666752</v>
      </c>
      <c r="S27" s="268">
        <f t="shared" si="3"/>
        <v>35.1055804666752</v>
      </c>
      <c r="T27" s="514">
        <v>0</v>
      </c>
      <c r="U27" s="515">
        <f t="shared" si="4"/>
        <v>32.812576642277591</v>
      </c>
      <c r="V27" s="268">
        <f t="shared" si="13"/>
        <v>32.812576642277591</v>
      </c>
      <c r="W27" s="263"/>
      <c r="Y27" s="516" t="str">
        <f t="shared" si="5"/>
        <v>Religious worship</v>
      </c>
      <c r="Z27" s="517">
        <f t="shared" si="6"/>
        <v>7.5042636052126941</v>
      </c>
      <c r="AA27" s="518">
        <f t="shared" si="7"/>
        <v>3.6583515277425782</v>
      </c>
      <c r="AB27" s="519">
        <f t="shared" si="8"/>
        <v>9.4629956717150951E-2</v>
      </c>
      <c r="AC27" s="520">
        <f t="shared" si="9"/>
        <v>6.2105178950477953</v>
      </c>
      <c r="AD27" s="521">
        <f t="shared" si="9"/>
        <v>25.199763819969235</v>
      </c>
      <c r="AE27" s="522">
        <f t="shared" si="23"/>
        <v>3.0575945912760796</v>
      </c>
      <c r="AF27" s="523">
        <f t="shared" si="24"/>
        <v>2.5627779760443392</v>
      </c>
      <c r="AG27" s="523">
        <f t="shared" si="12"/>
        <v>0.95262812568956934</v>
      </c>
      <c r="AJ27" s="524"/>
      <c r="AK27" s="524">
        <f t="shared" si="14"/>
        <v>58.05</v>
      </c>
      <c r="AL27" s="524">
        <f t="shared" si="15"/>
        <v>47.071909831522937</v>
      </c>
      <c r="AM27" s="524">
        <f t="shared" si="16"/>
        <v>35.1055804666752</v>
      </c>
      <c r="AN27" s="524">
        <f t="shared" si="17"/>
        <v>32.812576642277591</v>
      </c>
    </row>
    <row r="28" spans="2:40" ht="15" x14ac:dyDescent="0.25">
      <c r="B28" s="367" t="s">
        <v>433</v>
      </c>
      <c r="C28" s="587">
        <v>58.040000000000006</v>
      </c>
      <c r="D28" s="587">
        <v>87.059999999999988</v>
      </c>
      <c r="E28" s="588">
        <v>2</v>
      </c>
      <c r="F28" s="588">
        <v>268228</v>
      </c>
      <c r="G28" s="587" t="b">
        <v>1</v>
      </c>
      <c r="H28" s="587" t="b">
        <v>1</v>
      </c>
      <c r="J28" s="138" t="str">
        <f t="shared" si="18"/>
        <v>Service</v>
      </c>
      <c r="K28" s="514">
        <f t="shared" si="19"/>
        <v>36.223724246139845</v>
      </c>
      <c r="L28" s="515">
        <f t="shared" si="20"/>
        <v>25.90722891566265</v>
      </c>
      <c r="M28" s="268">
        <f t="shared" si="21"/>
        <v>62.130953161802495</v>
      </c>
      <c r="N28" s="514">
        <f t="shared" si="22"/>
        <v>28.98970440779156</v>
      </c>
      <c r="O28" s="515">
        <f t="shared" si="22"/>
        <v>22.021144578313251</v>
      </c>
      <c r="P28" s="268">
        <f t="shared" si="22"/>
        <v>51.010848986104811</v>
      </c>
      <c r="Q28" s="514">
        <v>0</v>
      </c>
      <c r="R28" s="515">
        <f t="shared" si="2"/>
        <v>32.376769833286488</v>
      </c>
      <c r="S28" s="268">
        <f t="shared" si="3"/>
        <v>32.376769833286488</v>
      </c>
      <c r="T28" s="514">
        <v>0</v>
      </c>
      <c r="U28" s="515">
        <f t="shared" si="4"/>
        <v>29.505145186484384</v>
      </c>
      <c r="V28" s="268">
        <f t="shared" si="13"/>
        <v>29.505145186484384</v>
      </c>
      <c r="W28" s="263"/>
      <c r="Y28" s="516" t="str">
        <f t="shared" si="5"/>
        <v>Service</v>
      </c>
      <c r="Z28" s="517">
        <f t="shared" si="6"/>
        <v>6.8873332533326312</v>
      </c>
      <c r="AA28" s="518">
        <f t="shared" si="7"/>
        <v>3.6491269860113711</v>
      </c>
      <c r="AB28" s="519">
        <f t="shared" si="8"/>
        <v>8.7274224987490379E-2</v>
      </c>
      <c r="AC28" s="520">
        <f t="shared" ref="AC28:AD30" si="25">AN52</f>
        <v>3.6492906341108928</v>
      </c>
      <c r="AD28" s="521">
        <f t="shared" si="25"/>
        <v>27.600870826042758</v>
      </c>
      <c r="AE28" s="522">
        <f t="shared" si="23"/>
        <v>6.5633523315600177</v>
      </c>
      <c r="AF28" s="523">
        <f t="shared" si="24"/>
        <v>3.5222606292229068</v>
      </c>
      <c r="AG28" s="523">
        <f t="shared" si="12"/>
        <v>0.82620987972179527</v>
      </c>
      <c r="AJ28" s="524"/>
      <c r="AK28" s="524">
        <f t="shared" si="14"/>
        <v>62.130953161802495</v>
      </c>
      <c r="AL28" s="524">
        <f t="shared" si="15"/>
        <v>51.010848986104811</v>
      </c>
      <c r="AM28" s="524">
        <f t="shared" si="16"/>
        <v>32.376769833286488</v>
      </c>
      <c r="AN28" s="524">
        <f t="shared" si="17"/>
        <v>29.505145186484384</v>
      </c>
    </row>
    <row r="29" spans="2:40" ht="15" x14ac:dyDescent="0.25">
      <c r="B29" s="367" t="s">
        <v>489</v>
      </c>
      <c r="C29" s="587">
        <v>1.2899999999999991</v>
      </c>
      <c r="D29" s="587">
        <v>11.610000000000001</v>
      </c>
      <c r="E29" s="588">
        <v>25</v>
      </c>
      <c r="F29" s="588">
        <v>3460183</v>
      </c>
      <c r="G29" s="587" t="b">
        <v>1</v>
      </c>
      <c r="H29" s="587" t="b">
        <v>1</v>
      </c>
      <c r="J29" s="138" t="str">
        <f t="shared" si="18"/>
        <v>Warehouse and storage</v>
      </c>
      <c r="K29" s="514">
        <f t="shared" si="19"/>
        <v>1.2899999999999991</v>
      </c>
      <c r="L29" s="515">
        <f t="shared" si="20"/>
        <v>11.610000000000001</v>
      </c>
      <c r="M29" s="268">
        <f t="shared" si="21"/>
        <v>12.9</v>
      </c>
      <c r="N29" s="514">
        <f t="shared" si="22"/>
        <v>1.0629695400970642</v>
      </c>
      <c r="O29" s="515">
        <f t="shared" si="22"/>
        <v>9.8685000000000009</v>
      </c>
      <c r="P29" s="268">
        <f t="shared" si="22"/>
        <v>10.931469540097066</v>
      </c>
      <c r="Q29" s="514">
        <v>0</v>
      </c>
      <c r="R29" s="515">
        <f t="shared" si="2"/>
        <v>10.435776671203378</v>
      </c>
      <c r="S29" s="268">
        <f t="shared" si="3"/>
        <v>10.435776671203378</v>
      </c>
      <c r="T29" s="514">
        <v>0</v>
      </c>
      <c r="U29" s="515">
        <f t="shared" si="4"/>
        <v>10.158373735336637</v>
      </c>
      <c r="V29" s="268">
        <f t="shared" si="13"/>
        <v>10.158373735336637</v>
      </c>
      <c r="W29" s="263"/>
      <c r="Y29" s="516" t="str">
        <f t="shared" si="5"/>
        <v>Warehouse and storage</v>
      </c>
      <c r="Z29" s="517">
        <f t="shared" si="6"/>
        <v>2.2928383109864345</v>
      </c>
      <c r="AA29" s="518">
        <f t="shared" si="7"/>
        <v>1.0017930369437897</v>
      </c>
      <c r="AB29" s="519">
        <f t="shared" si="8"/>
        <v>2.8130487562889672E-2</v>
      </c>
      <c r="AC29" s="520">
        <f t="shared" si="25"/>
        <v>0.33253901611291026</v>
      </c>
      <c r="AD29" s="521">
        <f t="shared" si="25"/>
        <v>1.0398658646586318</v>
      </c>
      <c r="AE29" s="522">
        <f t="shared" si="23"/>
        <v>2.1270492010644428</v>
      </c>
      <c r="AF29" s="523">
        <f t="shared" si="24"/>
        <v>0.31232587322300143</v>
      </c>
      <c r="AG29" s="523">
        <f t="shared" si="12"/>
        <v>0.66542532204745264</v>
      </c>
      <c r="AJ29" s="524"/>
      <c r="AK29" s="524">
        <f t="shared" si="14"/>
        <v>12.9</v>
      </c>
      <c r="AL29" s="524">
        <f t="shared" si="15"/>
        <v>10.931469540097066</v>
      </c>
      <c r="AM29" s="524">
        <f t="shared" si="16"/>
        <v>10.435776671203378</v>
      </c>
      <c r="AN29" s="524">
        <f t="shared" si="17"/>
        <v>10.158373735336637</v>
      </c>
    </row>
    <row r="30" spans="2:40" ht="15" x14ac:dyDescent="0.25">
      <c r="B30" s="367" t="s">
        <v>438</v>
      </c>
      <c r="C30" s="587"/>
      <c r="D30" s="587"/>
      <c r="E30" s="588"/>
      <c r="F30" s="588"/>
      <c r="G30" s="587" t="b">
        <v>1</v>
      </c>
      <c r="H30" s="587" t="b">
        <v>1</v>
      </c>
      <c r="J30" s="138" t="str">
        <f t="shared" si="18"/>
        <v>Vacant</v>
      </c>
      <c r="K30" s="514">
        <f t="shared" si="19"/>
        <v>10.367770808228103</v>
      </c>
      <c r="L30" s="515">
        <f t="shared" si="20"/>
        <v>14.806024096385542</v>
      </c>
      <c r="M30" s="268">
        <f t="shared" si="21"/>
        <v>25.173794904613644</v>
      </c>
      <c r="N30" s="514">
        <f t="shared" si="22"/>
        <v>7.5680306257671788</v>
      </c>
      <c r="O30" s="515">
        <f t="shared" si="22"/>
        <v>12.58512048192771</v>
      </c>
      <c r="P30" s="268">
        <f t="shared" si="22"/>
        <v>20.153151107694889</v>
      </c>
      <c r="Q30" s="514">
        <v>0</v>
      </c>
      <c r="R30" s="515">
        <f t="shared" si="2"/>
        <v>15.099126415145133</v>
      </c>
      <c r="S30" s="268">
        <f t="shared" si="3"/>
        <v>15.099126415145133</v>
      </c>
      <c r="T30" s="514">
        <v>0</v>
      </c>
      <c r="U30" s="515">
        <f t="shared" si="4"/>
        <v>14.750727962717278</v>
      </c>
      <c r="V30" s="268">
        <f t="shared" si="13"/>
        <v>14.750727962717278</v>
      </c>
      <c r="W30" s="263"/>
      <c r="Y30" s="516" t="str">
        <f t="shared" si="5"/>
        <v>Vacant</v>
      </c>
      <c r="Z30" s="517">
        <f t="shared" si="6"/>
        <v>3.3872757563150819</v>
      </c>
      <c r="AA30" s="518">
        <f t="shared" si="7"/>
        <v>1.607511572227782</v>
      </c>
      <c r="AB30" s="519">
        <f t="shared" si="8"/>
        <v>4.0700927320894885E-2</v>
      </c>
      <c r="AC30" s="520">
        <f t="shared" si="25"/>
        <v>1.0334041418768976</v>
      </c>
      <c r="AD30" s="521">
        <f t="shared" si="25"/>
        <v>9.8421211946716411</v>
      </c>
      <c r="AE30" s="522">
        <f t="shared" si="23"/>
        <v>8.5239807891577684</v>
      </c>
      <c r="AF30" s="523">
        <f t="shared" si="24"/>
        <v>2.6321589992482566</v>
      </c>
      <c r="AG30" s="523">
        <f t="shared" si="12"/>
        <v>1.1639378179579969</v>
      </c>
      <c r="AJ30" s="524"/>
      <c r="AK30" s="524">
        <f t="shared" si="14"/>
        <v>25.173794904613644</v>
      </c>
      <c r="AL30" s="524">
        <f t="shared" si="15"/>
        <v>20.153151107694889</v>
      </c>
      <c r="AM30" s="524">
        <f t="shared" si="16"/>
        <v>15.099126415145133</v>
      </c>
      <c r="AN30" s="524">
        <f t="shared" si="17"/>
        <v>14.750727962717278</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DC</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26">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442</v>
      </c>
      <c r="C36" s="525">
        <f t="shared" ref="C36:C54" si="27">F12</f>
        <v>28601738</v>
      </c>
      <c r="D36" s="526" t="b">
        <f t="shared" ref="D36:D54" si="28">E12&gt;=D$34+0</f>
        <v>1</v>
      </c>
      <c r="E36" s="526" t="str">
        <f t="shared" ref="E36:E54" si="29">IF(D36=TRUE,"City","CBECS")</f>
        <v>City</v>
      </c>
      <c r="F36" s="617">
        <f t="shared" ref="F36:F54" si="30">G36+H36</f>
        <v>44.2</v>
      </c>
      <c r="G36" s="531">
        <f>IF(D36,D12,'Typology Baseline - climate adj'!H36*$I$57+'Typology Baseline - climate adj'!I36)</f>
        <v>35.360000000000007</v>
      </c>
      <c r="H36" s="531">
        <f>IF(D36,C12,SUM('Typology Baseline - climate adj'!C36*$K$57*$K$58*G12,'Typology Baseline - climate adj'!$D36*H12,'Typology Baseline - climate adj'!$E36:$F36))</f>
        <v>8.8399999999999963</v>
      </c>
      <c r="I36" s="531">
        <f>'Typology Baseline - climate adj'!H36*$I$57/'Typology Baseline - climate adj'!G36*G36</f>
        <v>13.150626506024098</v>
      </c>
      <c r="J36" s="531">
        <f t="shared" ref="J36:J54" si="31">G36-I36</f>
        <v>22.20937349397591</v>
      </c>
      <c r="K36" s="531">
        <f>IF(G12,'Typology Baseline - climate adj'!C36*$K$57*$K$58*H36/SUM('Typology Baseline - climate adj'!C36*$K$57*$K$58,'Typology Baseline - climate adj'!D36*H12,'Typology Baseline - climate adj'!$E36:$F36),0)</f>
        <v>3.0209858412149027</v>
      </c>
      <c r="L36" s="531">
        <f>IF(H12,($H36-$K36)/SUM('Typology Baseline - climate adj'!$D36:$F36)*'Typology Baseline - climate adj'!D36,0)</f>
        <v>5.1301820355985361</v>
      </c>
      <c r="M36" s="531">
        <f>IF('Typology Baseline - climate adj'!E36=0,0,($H36-$K36-$L36)/SUM('Typology Baseline - climate adj'!$E36:$F36)*'Typology Baseline - climate adj'!E36)</f>
        <v>0.68883212318655751</v>
      </c>
      <c r="N36" s="618">
        <f>IF('Typology Baseline - climate adj'!F36=0,0,($H36-$K36-$L36)/SUM('Typology Baseline - climate adj'!$E36:$F36)*'Typology Baseline - climate adj'!F36)</f>
        <v>0</v>
      </c>
      <c r="O36" s="612"/>
      <c r="P36" s="526"/>
      <c r="Q36" s="525">
        <f t="shared" ref="Q36:Q54" si="32">K36*(1-G$4)</f>
        <v>2.1146900888504319</v>
      </c>
      <c r="R36" s="525">
        <f t="shared" ref="R36:R54" si="33">L36*(1-G$5)</f>
        <v>5.1301820355985361</v>
      </c>
      <c r="S36" s="525">
        <f t="shared" ref="S36:S54" si="34">M36*(1-G$6)</f>
        <v>0.68883212318655751</v>
      </c>
      <c r="T36" s="525">
        <f t="shared" ref="T36:T54" si="35">N36*(1-G$7)</f>
        <v>0</v>
      </c>
      <c r="U36" s="526"/>
      <c r="V36" s="525">
        <f t="shared" ref="V36:V38" si="36">SUM(Q36:T36)</f>
        <v>7.9337042476355251</v>
      </c>
      <c r="W36" s="533">
        <f t="shared" ref="W36:W54" si="37">G36*(1-$G$3)</f>
        <v>30.056000000000004</v>
      </c>
      <c r="X36" s="533">
        <f t="shared" ref="X36:X38" si="38">W36+V36</f>
        <v>37.98970424763553</v>
      </c>
      <c r="Y36" s="526"/>
      <c r="Z36" s="525">
        <f>SUMPRODUCT(Q36:T36,'Electrification of Gas End Uses'!$D$4:$G$4)</f>
        <v>3.1950494124974078</v>
      </c>
      <c r="AA36" s="533">
        <f t="shared" ref="AA36:AA38" si="39">W36</f>
        <v>30.056000000000004</v>
      </c>
      <c r="AB36" s="533">
        <f t="shared" ref="AB36:AB38" si="40">AA36+Z36</f>
        <v>33.251049412497409</v>
      </c>
      <c r="AD36" s="525">
        <f t="shared" ref="AD36:AD38" si="41">IF($AD$59&lt;Q36,$AD$59,Q36)</f>
        <v>2.1146900888504319</v>
      </c>
      <c r="AE36" s="538">
        <f t="shared" ref="AE36:AF51" si="42">R36</f>
        <v>5.1301820355985361</v>
      </c>
      <c r="AF36" s="538">
        <f t="shared" si="42"/>
        <v>0.68883212318655751</v>
      </c>
      <c r="AG36" s="538">
        <f t="shared" si="26"/>
        <v>0</v>
      </c>
      <c r="AH36" s="538">
        <f t="shared" ref="AH36:AH54" si="43">J36*(1-$G$3)</f>
        <v>18.877967469879522</v>
      </c>
      <c r="AI36" s="539">
        <f t="shared" ref="AI36:AI54" si="44">IF(AND(AP36&gt;I36*0.7,AP36&lt;I36),AP36,I36*0.7)</f>
        <v>9.2054385542168689</v>
      </c>
      <c r="AJ36" s="525">
        <f>SUMPRODUCT(AD36:AG36,'Electrification of Gas End Uses'!$D$4:$G$4)</f>
        <v>3.1950494124974078</v>
      </c>
      <c r="AK36" s="533">
        <f t="shared" ref="AK36:AK38" si="45">SUM(AH36:AI36)</f>
        <v>28.083406024096391</v>
      </c>
      <c r="AL36" s="533">
        <f t="shared" ref="AL36:AL54" si="46">AK36+AJ36</f>
        <v>31.278455436593799</v>
      </c>
      <c r="AN36" s="534">
        <f>SUMPRODUCT(K36:N36,'Electrification of Gas End Uses'!$D$5:$G$5)</f>
        <v>1.3542969426686682</v>
      </c>
      <c r="AO36" s="521">
        <f>SUMPRODUCT(K36:N36,'Electrification of Gas End Uses'!$D$6:$G$6)</f>
        <v>4.7869303994530874</v>
      </c>
      <c r="AP36" s="540">
        <f>(AH$57+IF(AH36&gt;(AH$60),AH36-AH$60,0))*(1+$AH$59)/'Electrification of Gas End Uses'!$D$12</f>
        <v>7.1035069879518087</v>
      </c>
      <c r="AQ36" s="541">
        <f t="shared" ref="AQ36:AQ54" si="47">1-AI36/(I36*(1-$G$3))</f>
        <v>0.17647058823529405</v>
      </c>
    </row>
    <row r="37" spans="1:43" ht="14.25" x14ac:dyDescent="0.2">
      <c r="B37" s="367" t="s">
        <v>440</v>
      </c>
      <c r="C37" s="525">
        <f t="shared" si="27"/>
        <v>47296920</v>
      </c>
      <c r="D37" s="526" t="b">
        <f t="shared" si="28"/>
        <v>1</v>
      </c>
      <c r="E37" s="526" t="str">
        <f t="shared" si="29"/>
        <v>City</v>
      </c>
      <c r="F37" s="617">
        <f t="shared" si="30"/>
        <v>63.2</v>
      </c>
      <c r="G37" s="531">
        <f>IF(D37,D13,'Typology Baseline - climate adj'!H37*$I$57+'Typology Baseline - climate adj'!I37)</f>
        <v>18.960000000000004</v>
      </c>
      <c r="H37" s="531">
        <f>IF(D37,C13,SUM('Typology Baseline - climate adj'!C37*$K$57*$K$58*G13,'Typology Baseline - climate adj'!$D37*H13,'Typology Baseline - climate adj'!$E37:$F37))</f>
        <v>44.239999999999995</v>
      </c>
      <c r="I37" s="531">
        <f>'Typology Baseline - climate adj'!H37*$I$57/'Typology Baseline - climate adj'!G37*G37</f>
        <v>6.4405622489959846</v>
      </c>
      <c r="J37" s="531">
        <f t="shared" si="31"/>
        <v>12.51943775100402</v>
      </c>
      <c r="K37" s="531">
        <f>IF(G13,'Typology Baseline - climate adj'!C37*$K$57*$K$58*H37/SUM('Typology Baseline - climate adj'!C37*$K$57*$K$58,'Typology Baseline - climate adj'!$D37:$F37),0)</f>
        <v>17.455695114073148</v>
      </c>
      <c r="L37" s="531">
        <f>IF(H13,($H37-$K37)/SUM('Typology Baseline - climate adj'!$D37:$F37)*'Typology Baseline - climate adj'!D37,0)</f>
        <v>23.613683694913785</v>
      </c>
      <c r="M37" s="531">
        <f>IF('Typology Baseline - climate adj'!E37=0,0,($H37-$K37-$L37)/SUM('Typology Baseline - climate adj'!$E37:$F37)*'Typology Baseline - climate adj'!E37)</f>
        <v>3.1706211910130619</v>
      </c>
      <c r="N37" s="618">
        <f>IF('Typology Baseline - climate adj'!F37=0,0,($H37-$K37-$L37)/SUM('Typology Baseline - climate adj'!$E37:$F37)*'Typology Baseline - climate adj'!F37)</f>
        <v>0</v>
      </c>
      <c r="O37" s="612"/>
      <c r="P37" s="526"/>
      <c r="Q37" s="525">
        <f t="shared" si="32"/>
        <v>12.218986579851203</v>
      </c>
      <c r="R37" s="525">
        <f t="shared" si="33"/>
        <v>23.613683694913785</v>
      </c>
      <c r="S37" s="525">
        <f t="shared" si="34"/>
        <v>3.1706211910130619</v>
      </c>
      <c r="T37" s="525">
        <f t="shared" si="35"/>
        <v>0</v>
      </c>
      <c r="U37" s="526"/>
      <c r="V37" s="525">
        <f t="shared" si="36"/>
        <v>39.003291465778048</v>
      </c>
      <c r="W37" s="533">
        <f t="shared" si="37"/>
        <v>16.116000000000003</v>
      </c>
      <c r="X37" s="533">
        <f t="shared" si="38"/>
        <v>55.119291465778048</v>
      </c>
      <c r="Y37" s="526"/>
      <c r="Z37" s="525">
        <f>SUMPRODUCT(Q37:T37,'Electrification of Gas End Uses'!$D$4:$G$4)</f>
        <v>15.501767089016758</v>
      </c>
      <c r="AA37" s="533">
        <f t="shared" si="39"/>
        <v>16.116000000000003</v>
      </c>
      <c r="AB37" s="533">
        <f t="shared" si="40"/>
        <v>31.617767089016759</v>
      </c>
      <c r="AD37" s="525">
        <f t="shared" si="41"/>
        <v>9.8999999999999986</v>
      </c>
      <c r="AE37" s="538">
        <f t="shared" si="42"/>
        <v>23.613683694913785</v>
      </c>
      <c r="AF37" s="538">
        <f t="shared" si="42"/>
        <v>3.1706211910130619</v>
      </c>
      <c r="AG37" s="538">
        <f t="shared" si="26"/>
        <v>0</v>
      </c>
      <c r="AH37" s="538">
        <f t="shared" si="43"/>
        <v>10.641522088353417</v>
      </c>
      <c r="AI37" s="539">
        <f t="shared" si="44"/>
        <v>4.5083935742971892</v>
      </c>
      <c r="AJ37" s="525">
        <f>SUMPRODUCT(AD37:AG37,'Electrification of Gas End Uses'!$D$4:$G$4)</f>
        <v>14.759691383464371</v>
      </c>
      <c r="AK37" s="533">
        <f t="shared" si="45"/>
        <v>15.149915662650606</v>
      </c>
      <c r="AL37" s="533">
        <f t="shared" si="46"/>
        <v>29.909607046114978</v>
      </c>
      <c r="AN37" s="534">
        <f>SUMPRODUCT(K37:N37,'Electrification of Gas End Uses'!$D$5:$G$5)</f>
        <v>6.5859562659195774</v>
      </c>
      <c r="AO37" s="521">
        <f>SUMPRODUCT(K37:N37,'Electrification of Gas End Uses'!$D$6:$G$6)</f>
        <v>25.687431308517553</v>
      </c>
      <c r="AP37" s="540">
        <f>(AH$57+IF(AH37&gt;(AH$60),AH37-AH$60,0))*(1+$AH$59)/'Electrification of Gas End Uses'!$D$12</f>
        <v>3.8089288353413666</v>
      </c>
      <c r="AQ37" s="541">
        <f t="shared" si="47"/>
        <v>0.17647058823529416</v>
      </c>
    </row>
    <row r="38" spans="1:43" ht="14.25" x14ac:dyDescent="0.2">
      <c r="B38" s="367" t="s">
        <v>444</v>
      </c>
      <c r="C38" s="525">
        <f t="shared" si="27"/>
        <v>22869495.5</v>
      </c>
      <c r="D38" s="526" t="b">
        <f t="shared" si="28"/>
        <v>1</v>
      </c>
      <c r="E38" s="526" t="str">
        <f t="shared" si="29"/>
        <v>City</v>
      </c>
      <c r="F38" s="617">
        <f t="shared" si="30"/>
        <v>58.8</v>
      </c>
      <c r="G38" s="531">
        <f>IF(D38,D14,'Typology Baseline - climate adj'!H38*$I$57+'Typology Baseline - climate adj'!I38)</f>
        <v>23.52</v>
      </c>
      <c r="H38" s="531">
        <f>IF(D38,C14,SUM('Typology Baseline - climate adj'!C38*$K$57*$K$58*G14,'Typology Baseline - climate adj'!$D38*H14,'Typology Baseline - climate adj'!$E38:$F38))</f>
        <v>35.28</v>
      </c>
      <c r="I38" s="531">
        <f>'Typology Baseline - climate adj'!H38*$I$57/'Typology Baseline - climate adj'!G38*G38</f>
        <v>7.3457975780414984</v>
      </c>
      <c r="J38" s="531">
        <f t="shared" si="31"/>
        <v>16.174202421958501</v>
      </c>
      <c r="K38" s="531">
        <f>IF(G14,'Typology Baseline - climate adj'!C38*$K$57*$K$58*H38/SUM('Typology Baseline - climate adj'!C38*$K$57*$K$58,'Typology Baseline - climate adj'!$D38:$F38),0)</f>
        <v>12.88756261552275</v>
      </c>
      <c r="L38" s="531">
        <f>IF(H14,($H38-$K38)/SUM('Typology Baseline - climate adj'!$D38:$F38)*'Typology Baseline - climate adj'!D38,0)</f>
        <v>19.337744772227527</v>
      </c>
      <c r="M38" s="531">
        <f>IF('Typology Baseline - climate adj'!E38=0,0,($H38-$K38-$L38)/SUM('Typology Baseline - climate adj'!$E38:$F38)*'Typology Baseline - climate adj'!E38)</f>
        <v>3.054692612249724</v>
      </c>
      <c r="N38" s="618">
        <f>IF('Typology Baseline - climate adj'!F38=0,0,($H38-$K38-$L38)/SUM('Typology Baseline - climate adj'!$E38:$F38)*'Typology Baseline - climate adj'!F38)</f>
        <v>0</v>
      </c>
      <c r="O38" s="612"/>
      <c r="P38" s="526"/>
      <c r="Q38" s="525">
        <f t="shared" si="32"/>
        <v>9.0212938308659236</v>
      </c>
      <c r="R38" s="525">
        <f t="shared" si="33"/>
        <v>19.337744772227527</v>
      </c>
      <c r="S38" s="525">
        <f t="shared" si="34"/>
        <v>3.054692612249724</v>
      </c>
      <c r="T38" s="525">
        <f t="shared" si="35"/>
        <v>0</v>
      </c>
      <c r="U38" s="526"/>
      <c r="V38" s="525">
        <f t="shared" si="36"/>
        <v>31.413731215343176</v>
      </c>
      <c r="W38" s="533">
        <f t="shared" si="37"/>
        <v>19.992000000000001</v>
      </c>
      <c r="X38" s="533">
        <f t="shared" si="38"/>
        <v>51.405731215343181</v>
      </c>
      <c r="Y38" s="526"/>
      <c r="Z38" s="525">
        <f>SUMPRODUCT(Q38:T38,'Electrification of Gas End Uses'!$D$4:$G$4)</f>
        <v>12.658633772421641</v>
      </c>
      <c r="AA38" s="533">
        <f t="shared" si="39"/>
        <v>19.992000000000001</v>
      </c>
      <c r="AB38" s="533">
        <f t="shared" si="40"/>
        <v>32.650633772421642</v>
      </c>
      <c r="AD38" s="525">
        <f t="shared" si="41"/>
        <v>9.0212938308659236</v>
      </c>
      <c r="AE38" s="538">
        <f t="shared" si="42"/>
        <v>19.337744772227527</v>
      </c>
      <c r="AF38" s="538">
        <f t="shared" si="42"/>
        <v>3.054692612249724</v>
      </c>
      <c r="AG38" s="538">
        <f t="shared" si="26"/>
        <v>0</v>
      </c>
      <c r="AH38" s="538">
        <f t="shared" si="43"/>
        <v>13.748072058664725</v>
      </c>
      <c r="AI38" s="539">
        <f t="shared" si="44"/>
        <v>5.1420583046290487</v>
      </c>
      <c r="AJ38" s="525">
        <f>SUMPRODUCT(AD38:AG38,'Electrification of Gas End Uses'!$D$4:$G$4)</f>
        <v>12.658633772421641</v>
      </c>
      <c r="AK38" s="533">
        <f t="shared" si="45"/>
        <v>18.890130363293775</v>
      </c>
      <c r="AL38" s="533">
        <f t="shared" si="46"/>
        <v>31.548764135715416</v>
      </c>
      <c r="AN38" s="534">
        <f>SUMPRODUCT(K38:N38,'Electrification of Gas End Uses'!$D$5:$G$5)</f>
        <v>5.6010868810725949</v>
      </c>
      <c r="AO38" s="521">
        <f>SUMPRODUCT(K38:N38,'Electrification of Gas End Uses'!$D$6:$G$6)</f>
        <v>19.918932806706731</v>
      </c>
      <c r="AP38" s="540">
        <f>(AH$57+IF(AH38&gt;(AH$60),AH38-AH$60,0))*(1+$AH$59)/'Electrification of Gas End Uses'!$D$12</f>
        <v>5.0515488234658896</v>
      </c>
      <c r="AQ38" s="541">
        <f t="shared" si="47"/>
        <v>0.17647058823529405</v>
      </c>
    </row>
    <row r="39" spans="1:43" ht="14.25" x14ac:dyDescent="0.2">
      <c r="B39" s="367" t="str">
        <f>'Typology Baseline - climate adj'!A39</f>
        <v>Education</v>
      </c>
      <c r="C39" s="525">
        <f t="shared" si="27"/>
        <v>29184618.5</v>
      </c>
      <c r="D39" s="526" t="b">
        <f t="shared" si="28"/>
        <v>1</v>
      </c>
      <c r="E39" s="526" t="str">
        <f t="shared" si="29"/>
        <v>City</v>
      </c>
      <c r="F39" s="617">
        <f t="shared" si="30"/>
        <v>66.900000000000006</v>
      </c>
      <c r="G39" s="531">
        <f>IF(D39,D15,'Typology Baseline - climate adj'!H39*$I$57+'Typology Baseline - climate adj'!I39)</f>
        <v>40.140000000000008</v>
      </c>
      <c r="H39" s="531">
        <f>IF(D39,C15,SUM('Typology Baseline - climate adj'!C39*$K$57*$K$58*G15,'Typology Baseline - climate adj'!$D39*H15,'Typology Baseline - climate adj'!$E39:$F39))</f>
        <v>26.759999999999998</v>
      </c>
      <c r="I39" s="531">
        <f>'Typology Baseline - climate adj'!H39*$I$57/'Typology Baseline - climate adj'!G39*G39</f>
        <v>10.27399551695153</v>
      </c>
      <c r="J39" s="531">
        <f t="shared" si="31"/>
        <v>29.866004483048478</v>
      </c>
      <c r="K39" s="531">
        <f>IF(G15,'Typology Baseline - climate adj'!C39*$K$57*H39/SUM('Typology Baseline - climate adj'!C39*$K$57,'Typology Baseline - climate adj'!$D39:$F39),0)</f>
        <v>16.306724324324325</v>
      </c>
      <c r="L39" s="531">
        <f>IF(H15,($H39-$K39)/SUM('Typology Baseline - climate adj'!$D39:$F39)*'Typology Baseline - climate adj'!D39,0)</f>
        <v>5.0814534534534523</v>
      </c>
      <c r="M39" s="531">
        <f>IF('Typology Baseline - climate adj'!E39=0,0,($H39-$K39-$L39)/SUM('Typology Baseline - climate adj'!$E39:$F39)*'Typology Baseline - climate adj'!E39)</f>
        <v>1.3066594594594594</v>
      </c>
      <c r="N39" s="618">
        <f>IF('Typology Baseline - climate adj'!F39=0,0,($H39-$K39-$L39)/SUM('Typology Baseline - climate adj'!$E39:$F39)*'Typology Baseline - climate adj'!F39)</f>
        <v>4.0651627627627622</v>
      </c>
      <c r="O39" s="612"/>
      <c r="P39" s="526"/>
      <c r="Q39" s="525">
        <f t="shared" si="32"/>
        <v>11.414707027027026</v>
      </c>
      <c r="R39" s="525">
        <f t="shared" si="33"/>
        <v>5.0814534534534523</v>
      </c>
      <c r="S39" s="525">
        <f t="shared" si="34"/>
        <v>1.3066594594594594</v>
      </c>
      <c r="T39" s="525">
        <f t="shared" si="35"/>
        <v>4.0651627627627622</v>
      </c>
      <c r="U39" s="525"/>
      <c r="V39" s="525">
        <f t="shared" ref="V39:V54" si="48">SUM(Q39:T39)</f>
        <v>21.867982702702697</v>
      </c>
      <c r="W39" s="533">
        <f t="shared" si="37"/>
        <v>34.119000000000007</v>
      </c>
      <c r="X39" s="533">
        <f>W39+V39</f>
        <v>55.986982702702704</v>
      </c>
      <c r="Y39" s="526"/>
      <c r="Z39" s="525">
        <f>SUMPRODUCT(Q39:T39,'Electrification of Gas End Uses'!$D$4:$G$4)</f>
        <v>10.127188032465266</v>
      </c>
      <c r="AA39" s="533">
        <f>W39</f>
        <v>34.119000000000007</v>
      </c>
      <c r="AB39" s="533">
        <f>AA39+Z39</f>
        <v>44.24618803246527</v>
      </c>
      <c r="AD39" s="525">
        <f t="shared" ref="AD39:AD54" si="49">IF($AD$59&lt;Q39,$AD$59,Q39)</f>
        <v>9.8999999999999986</v>
      </c>
      <c r="AE39" s="538">
        <f>R39</f>
        <v>5.0814534534534523</v>
      </c>
      <c r="AF39" s="538">
        <f t="shared" si="42"/>
        <v>1.3066594594594594</v>
      </c>
      <c r="AG39" s="538">
        <f t="shared" si="26"/>
        <v>4.0651627627627622</v>
      </c>
      <c r="AH39" s="538">
        <f t="shared" si="43"/>
        <v>25.386103810591205</v>
      </c>
      <c r="AI39" s="539">
        <f t="shared" si="44"/>
        <v>9.7067615242364802</v>
      </c>
      <c r="AJ39" s="525">
        <f>SUMPRODUCT(AD39:AG39,'Electrification of Gas End Uses'!$D$4:$G$4)</f>
        <v>9.642481783816617</v>
      </c>
      <c r="AK39" s="533">
        <f>SUM(AH39:AI39)</f>
        <v>35.092865334827685</v>
      </c>
      <c r="AL39" s="533">
        <f t="shared" si="46"/>
        <v>44.735347118644299</v>
      </c>
      <c r="AN39" s="534">
        <f>SUMPRODUCT(K39:N39,'Electrification of Gas End Uses'!$D$5:$G$5)</f>
        <v>5.7368642152449913</v>
      </c>
      <c r="AO39" s="521">
        <f>SUMPRODUCT(K39:N39,'Electrification of Gas End Uses'!$D$6:$G$6)</f>
        <v>21.32202785776148</v>
      </c>
      <c r="AP39" s="540">
        <f>(AH$57+IF(AH39&gt;(AH$60),AH39-AH$60,0))*(1+$AH$59)/'Electrification of Gas End Uses'!$D$12</f>
        <v>9.7067615242364802</v>
      </c>
      <c r="AQ39" s="541">
        <f t="shared" si="47"/>
        <v>-0.11151687981918057</v>
      </c>
    </row>
    <row r="40" spans="1:43" ht="14.25" x14ac:dyDescent="0.2">
      <c r="B40" s="367" t="str">
        <f>'Typology Baseline - climate adj'!A40</f>
        <v>Food sales</v>
      </c>
      <c r="C40" s="525">
        <f t="shared" si="27"/>
        <v>843823</v>
      </c>
      <c r="D40" s="526" t="b">
        <f t="shared" si="28"/>
        <v>1</v>
      </c>
      <c r="E40" s="526" t="str">
        <f t="shared" si="29"/>
        <v>City</v>
      </c>
      <c r="F40" s="617">
        <f t="shared" si="30"/>
        <v>194.95</v>
      </c>
      <c r="G40" s="531">
        <f>IF(D40,D16,'Typology Baseline - climate adj'!H40*$I$57+'Typology Baseline - climate adj'!I40)</f>
        <v>136.465</v>
      </c>
      <c r="H40" s="531">
        <f>IF(D40,C16,SUM('Typology Baseline - climate adj'!C40*$K$57*$K$58*G16,'Typology Baseline - climate adj'!$D40*H16,'Typology Baseline - climate adj'!$E40:$F40))</f>
        <v>58.484999999999985</v>
      </c>
      <c r="I40" s="531">
        <f>'Typology Baseline - climate adj'!H40*$I$57/'Typology Baseline - climate adj'!G40*G40</f>
        <v>5.0812374026938851</v>
      </c>
      <c r="J40" s="531">
        <f t="shared" si="31"/>
        <v>131.38376259730612</v>
      </c>
      <c r="K40" s="531">
        <f>IF(G16,'Typology Baseline - climate adj'!C40*$K$57*H40/SUM('Typology Baseline - climate adj'!C40*$K$57,'Typology Baseline - climate adj'!$D40:$F40),0)</f>
        <v>28.936498376232851</v>
      </c>
      <c r="L40" s="531">
        <f>IF(H16,($H40-$K40)/SUM('Typology Baseline - climate adj'!$D40:$F40)*'Typology Baseline - climate adj'!D40,0)</f>
        <v>3.4949840630262208</v>
      </c>
      <c r="M40" s="531">
        <f>IF('Typology Baseline - climate adj'!E40=0,0,($H40-$K40-$L40)/SUM('Typology Baseline - climate adj'!$E40:$F40)*'Typology Baseline - climate adj'!E40)</f>
        <v>26.053517560740914</v>
      </c>
      <c r="N40" s="618">
        <f>IF('Typology Baseline - climate adj'!F40=0,0,($H40-$K40-$L40)/SUM('Typology Baseline - climate adj'!$E40:$F40)*'Typology Baseline - climate adj'!F40)</f>
        <v>0</v>
      </c>
      <c r="O40" s="612"/>
      <c r="P40" s="526"/>
      <c r="Q40" s="525">
        <f t="shared" si="32"/>
        <v>20.255548863362996</v>
      </c>
      <c r="R40" s="525">
        <f t="shared" si="33"/>
        <v>3.4949840630262208</v>
      </c>
      <c r="S40" s="525">
        <f t="shared" si="34"/>
        <v>26.053517560740914</v>
      </c>
      <c r="T40" s="525">
        <f t="shared" si="35"/>
        <v>0</v>
      </c>
      <c r="U40" s="525"/>
      <c r="V40" s="525">
        <f t="shared" si="48"/>
        <v>49.804050487130127</v>
      </c>
      <c r="W40" s="533">
        <f t="shared" si="37"/>
        <v>115.99525</v>
      </c>
      <c r="X40" s="533">
        <f t="shared" ref="X40:X54" si="50">W40+V40</f>
        <v>165.79930048713013</v>
      </c>
      <c r="Y40" s="526"/>
      <c r="Z40" s="525">
        <f>SUMPRODUCT(Q40:T40,'Electrification of Gas End Uses'!$D$4:$G$4)</f>
        <v>23.783390956546455</v>
      </c>
      <c r="AA40" s="533">
        <f t="shared" ref="AA40:AA54" si="51">W40</f>
        <v>115.99525</v>
      </c>
      <c r="AB40" s="533">
        <f t="shared" ref="AB40:AB54" si="52">AA40+Z40</f>
        <v>139.77864095654644</v>
      </c>
      <c r="AD40" s="525">
        <f t="shared" si="49"/>
        <v>9.8999999999999986</v>
      </c>
      <c r="AE40" s="538">
        <f t="shared" ref="AE40:AF54" si="53">R40</f>
        <v>3.4949840630262208</v>
      </c>
      <c r="AF40" s="538">
        <f t="shared" si="42"/>
        <v>26.053517560740914</v>
      </c>
      <c r="AG40" s="538">
        <f t="shared" si="26"/>
        <v>0</v>
      </c>
      <c r="AH40" s="538">
        <f t="shared" si="43"/>
        <v>111.6761982077102</v>
      </c>
      <c r="AI40" s="539">
        <f t="shared" si="44"/>
        <v>3.5568661818857192</v>
      </c>
      <c r="AJ40" s="525">
        <f>SUMPRODUCT(AD40:AG40,'Electrification of Gas End Uses'!$D$4:$G$4)</f>
        <v>20.4696153202703</v>
      </c>
      <c r="AK40" s="533">
        <f t="shared" ref="AK40:AK54" si="54">SUM(AH40:AI40)</f>
        <v>115.23306438959592</v>
      </c>
      <c r="AL40" s="533">
        <f t="shared" si="46"/>
        <v>135.70267970986623</v>
      </c>
      <c r="AN40" s="534">
        <f>SUMPRODUCT(K40:N40,'Electrification of Gas End Uses'!$D$5:$G$5)</f>
        <v>22.983402492314873</v>
      </c>
      <c r="AO40" s="521">
        <f>SUMPRODUCT(K40:N40,'Electrification of Gas End Uses'!$D$6:$G$6)</f>
        <v>49.412340847604042</v>
      </c>
      <c r="AP40" s="540">
        <f>(AH$57+IF(AH40&gt;(AH$60),AH40-AH$60,0))*(1+$AH$59)/'Electrification of Gas End Uses'!$D$12</f>
        <v>44.222799283084079</v>
      </c>
      <c r="AQ40" s="541">
        <f t="shared" si="47"/>
        <v>0.17647058823529427</v>
      </c>
    </row>
    <row r="41" spans="1:43" ht="14.25" x14ac:dyDescent="0.2">
      <c r="B41" s="367" t="str">
        <f>'Typology Baseline - climate adj'!A41</f>
        <v>Food service</v>
      </c>
      <c r="C41" s="525">
        <f t="shared" si="27"/>
        <v>140000</v>
      </c>
      <c r="D41" s="526" t="b">
        <f t="shared" si="28"/>
        <v>0</v>
      </c>
      <c r="E41" s="526" t="str">
        <f t="shared" si="29"/>
        <v>CBECS</v>
      </c>
      <c r="F41" s="617">
        <f t="shared" si="30"/>
        <v>271.29441704483509</v>
      </c>
      <c r="G41" s="531">
        <f>IF(D41,D17,'Typology Baseline - climate adj'!H41*$I$57+'Typology Baseline - climate adj'!I41)</f>
        <v>91.26746987951806</v>
      </c>
      <c r="H41" s="531">
        <f>IF(D41,C17,SUM('Typology Baseline - climate adj'!C41*$K$57*$K$58*G17,'Typology Baseline - climate adj'!$D41*H17,'Typology Baseline - climate adj'!$E41:$F41))</f>
        <v>180.02694716531704</v>
      </c>
      <c r="I41" s="531">
        <f>'Typology Baseline - climate adj'!H41*$I$57/'Typology Baseline - climate adj'!G41*G41</f>
        <v>19.04852034216405</v>
      </c>
      <c r="J41" s="531">
        <f t="shared" si="31"/>
        <v>72.218949537354007</v>
      </c>
      <c r="K41" s="531">
        <f>IF(G17,'Typology Baseline - climate adj'!C41*$K$57*H41/SUM('Typology Baseline - climate adj'!C41*$K$57,'Typology Baseline - climate adj'!$D41:$F41),0)</f>
        <v>27.347633766057246</v>
      </c>
      <c r="L41" s="531">
        <f>IF(H17,($H41-$K41)/SUM('Typology Baseline - climate adj'!$D41:$F41)*'Typology Baseline - climate adj'!D41,0)</f>
        <v>37.476700596436977</v>
      </c>
      <c r="M41" s="531">
        <f>IF('Typology Baseline - climate adj'!E41=0,0,($H41-$K41-$L41)/SUM('Typology Baseline - climate adj'!$E41:$F41)*'Typology Baseline - climate adj'!E41)</f>
        <v>115.20261280282281</v>
      </c>
      <c r="N41" s="618">
        <f>IF('Typology Baseline - climate adj'!F41=0,0,($H41-$K41-$L41)/SUM('Typology Baseline - climate adj'!$E41:$F41)*'Typology Baseline - climate adj'!F41)</f>
        <v>0</v>
      </c>
      <c r="O41" s="612"/>
      <c r="P41" s="526"/>
      <c r="Q41" s="525">
        <f t="shared" si="32"/>
        <v>19.143343636240072</v>
      </c>
      <c r="R41" s="525">
        <f t="shared" si="33"/>
        <v>37.476700596436977</v>
      </c>
      <c r="S41" s="525">
        <f t="shared" si="34"/>
        <v>115.20261280282281</v>
      </c>
      <c r="T41" s="525">
        <f t="shared" si="35"/>
        <v>0</v>
      </c>
      <c r="U41" s="525"/>
      <c r="V41" s="525">
        <f t="shared" si="48"/>
        <v>171.82265703549984</v>
      </c>
      <c r="W41" s="533">
        <f t="shared" si="37"/>
        <v>77.577349397590353</v>
      </c>
      <c r="X41" s="533">
        <f t="shared" si="50"/>
        <v>249.4000064330902</v>
      </c>
      <c r="Y41" s="526"/>
      <c r="Z41" s="525">
        <f>SUMPRODUCT(Q41:T41,'Electrification of Gas End Uses'!$D$4:$G$4)</f>
        <v>91.638883550333389</v>
      </c>
      <c r="AA41" s="533">
        <f t="shared" si="51"/>
        <v>77.577349397590353</v>
      </c>
      <c r="AB41" s="533">
        <f t="shared" si="52"/>
        <v>169.21623294792374</v>
      </c>
      <c r="AD41" s="525">
        <f t="shared" si="49"/>
        <v>9.8999999999999986</v>
      </c>
      <c r="AE41" s="538">
        <f t="shared" si="53"/>
        <v>37.476700596436977</v>
      </c>
      <c r="AF41" s="538">
        <f t="shared" si="42"/>
        <v>115.20261280282281</v>
      </c>
      <c r="AG41" s="538">
        <f t="shared" si="26"/>
        <v>0</v>
      </c>
      <c r="AH41" s="538">
        <f t="shared" si="43"/>
        <v>61.386107106750906</v>
      </c>
      <c r="AI41" s="539">
        <f t="shared" si="44"/>
        <v>13.333964239514835</v>
      </c>
      <c r="AJ41" s="525">
        <f>SUMPRODUCT(AD41:AG41,'Electrification of Gas End Uses'!$D$4:$G$4)</f>
        <v>88.681013586736555</v>
      </c>
      <c r="AK41" s="533">
        <f t="shared" si="54"/>
        <v>74.72007134626574</v>
      </c>
      <c r="AL41" s="533">
        <f t="shared" si="46"/>
        <v>163.40108493300229</v>
      </c>
      <c r="AN41" s="534">
        <f>SUMPRODUCT(K41:N41,'Electrification of Gas End Uses'!$D$5:$G$5)</f>
        <v>93.930939087464296</v>
      </c>
      <c r="AO41" s="521">
        <f>SUMPRODUCT(K41:N41,'Electrification of Gas End Uses'!$D$6:$G$6)</f>
        <v>120.02694057156759</v>
      </c>
      <c r="AP41" s="540">
        <f>(AH$57+IF(AH41&gt;(AH$60),AH41-AH$60,0))*(1+$AH$59)/'Electrification of Gas End Uses'!$D$12</f>
        <v>24.106762842700363</v>
      </c>
      <c r="AQ41" s="541">
        <f t="shared" si="47"/>
        <v>0.17647058823529405</v>
      </c>
    </row>
    <row r="42" spans="1:43" ht="14.25" x14ac:dyDescent="0.2">
      <c r="B42" s="367" t="str">
        <f>'Typology Baseline - climate adj'!A42</f>
        <v>Health care Inpatient</v>
      </c>
      <c r="C42" s="525">
        <f t="shared" si="27"/>
        <v>3933477</v>
      </c>
      <c r="D42" s="526" t="b">
        <f t="shared" si="28"/>
        <v>0</v>
      </c>
      <c r="E42" s="526" t="str">
        <f t="shared" si="29"/>
        <v>CBECS</v>
      </c>
      <c r="F42" s="617">
        <f t="shared" si="30"/>
        <v>218.82322353377799</v>
      </c>
      <c r="G42" s="531">
        <f>IF(D42,D18,'Typology Baseline - climate adj'!H42*$I$57+'Typology Baseline - climate adj'!I42)</f>
        <v>98.562650602409633</v>
      </c>
      <c r="H42" s="531">
        <f>IF(D42,C18,SUM('Typology Baseline - climate adj'!C42*$K$57*$K$58*G18,'Typology Baseline - climate adj'!$D42*H18,'Typology Baseline - climate adj'!$E42:$F42))</f>
        <v>120.26057293136836</v>
      </c>
      <c r="I42" s="531">
        <f>'Typology Baseline - climate adj'!H42*$I$57/'Typology Baseline - climate adj'!G42*G42</f>
        <v>27.819030174114648</v>
      </c>
      <c r="J42" s="531">
        <f t="shared" si="31"/>
        <v>70.743620428294989</v>
      </c>
      <c r="K42" s="531">
        <f>IF(G18,'Typology Baseline - climate adj'!C42*$K$57*H42/SUM('Typology Baseline - climate adj'!C42*$K$57,'Typology Baseline - climate adj'!$D42:$F42),0)</f>
        <v>54.273412258378812</v>
      </c>
      <c r="L42" s="531">
        <f>IF(H18,($H42-$K42)/SUM('Typology Baseline - climate adj'!$D42:$F42)*'Typology Baseline - climate adj'!D42,0)</f>
        <v>29.820284731008446</v>
      </c>
      <c r="M42" s="531">
        <f>IF('Typology Baseline - climate adj'!E42=0,0,($H42-$K42-$L42)/SUM('Typology Baseline - climate adj'!$E42:$F42)*'Typology Baseline - climate adj'!E42)</f>
        <v>14.431974534540537</v>
      </c>
      <c r="N42" s="618">
        <f>IF('Typology Baseline - climate adj'!F42=0,0,($H42-$K42-$L42)/SUM('Typology Baseline - climate adj'!$E42:$F42)*'Typology Baseline - climate adj'!F42)</f>
        <v>21.734901407440567</v>
      </c>
      <c r="O42" s="612"/>
      <c r="P42" s="526"/>
      <c r="Q42" s="525">
        <f t="shared" si="32"/>
        <v>37.991388580865163</v>
      </c>
      <c r="R42" s="525">
        <f t="shared" si="33"/>
        <v>29.820284731008446</v>
      </c>
      <c r="S42" s="525">
        <f t="shared" si="34"/>
        <v>14.431974534540537</v>
      </c>
      <c r="T42" s="525">
        <f t="shared" si="35"/>
        <v>21.734901407440567</v>
      </c>
      <c r="U42" s="525"/>
      <c r="V42" s="525">
        <f t="shared" si="48"/>
        <v>103.97854925385471</v>
      </c>
      <c r="W42" s="533">
        <f t="shared" si="37"/>
        <v>83.778253012048182</v>
      </c>
      <c r="X42" s="533">
        <f t="shared" si="50"/>
        <v>187.75680226590288</v>
      </c>
      <c r="Y42" s="526"/>
      <c r="Z42" s="525">
        <f>SUMPRODUCT(Q42:T42,'Electrification of Gas End Uses'!$D$4:$G$4)</f>
        <v>52.394608460881443</v>
      </c>
      <c r="AA42" s="533">
        <f t="shared" si="51"/>
        <v>83.778253012048182</v>
      </c>
      <c r="AB42" s="533">
        <f t="shared" si="52"/>
        <v>136.17286147292964</v>
      </c>
      <c r="AD42" s="525">
        <f t="shared" si="49"/>
        <v>9.8999999999999986</v>
      </c>
      <c r="AE42" s="538">
        <f t="shared" si="53"/>
        <v>29.820284731008446</v>
      </c>
      <c r="AF42" s="538">
        <f t="shared" si="42"/>
        <v>14.431974534540537</v>
      </c>
      <c r="AG42" s="538">
        <f t="shared" si="26"/>
        <v>21.734901407440567</v>
      </c>
      <c r="AH42" s="538">
        <f t="shared" si="43"/>
        <v>60.132077364050737</v>
      </c>
      <c r="AI42" s="539">
        <f t="shared" si="44"/>
        <v>23.605150945620295</v>
      </c>
      <c r="AJ42" s="525">
        <f>SUMPRODUCT(AD42:AG42,'Electrification of Gas End Uses'!$D$4:$G$4)</f>
        <v>43.405364115004588</v>
      </c>
      <c r="AK42" s="533">
        <f t="shared" si="54"/>
        <v>83.737228309671025</v>
      </c>
      <c r="AL42" s="533">
        <f t="shared" si="46"/>
        <v>127.14259242467561</v>
      </c>
      <c r="AN42" s="534">
        <f>SUMPRODUCT(K42:N42,'Electrification of Gas End Uses'!$D$5:$G$5)</f>
        <v>33.326662786075886</v>
      </c>
      <c r="AO42" s="521">
        <f>SUMPRODUCT(K42:N42,'Electrification of Gas End Uses'!$D$6:$G$6)</f>
        <v>86.12235031924908</v>
      </c>
      <c r="AP42" s="540">
        <f>(AH$57+IF(AH42&gt;(AH$60),AH42-AH$60,0))*(1+$AH$59)/'Electrification of Gas End Uses'!$D$12</f>
        <v>23.605150945620295</v>
      </c>
      <c r="AQ42" s="541">
        <f t="shared" si="47"/>
        <v>1.7349402705899575E-3</v>
      </c>
    </row>
    <row r="43" spans="1:43" ht="14.25" x14ac:dyDescent="0.2">
      <c r="B43" s="367" t="str">
        <f>'Typology Baseline - climate adj'!A43</f>
        <v>Health care Outpatient</v>
      </c>
      <c r="C43" s="525">
        <f t="shared" si="27"/>
        <v>2077964</v>
      </c>
      <c r="D43" s="526" t="b">
        <f t="shared" si="28"/>
        <v>1</v>
      </c>
      <c r="E43" s="526" t="str">
        <f t="shared" si="29"/>
        <v>City</v>
      </c>
      <c r="F43" s="617">
        <f t="shared" si="30"/>
        <v>73.2</v>
      </c>
      <c r="G43" s="531">
        <f>IF(D43,D19,'Typology Baseline - climate adj'!H43*$I$57+'Typology Baseline - climate adj'!I43)</f>
        <v>65.88000000000001</v>
      </c>
      <c r="H43" s="531">
        <f>IF(D43,C19,SUM('Typology Baseline - climate adj'!C43*$K$57*$K$58*G19,'Typology Baseline - climate adj'!$D43*H19,'Typology Baseline - climate adj'!$E43:$F43))</f>
        <v>7.3199999999999932</v>
      </c>
      <c r="I43" s="531">
        <f>'Typology Baseline - climate adj'!H43*$I$57/'Typology Baseline - climate adj'!G43*G43</f>
        <v>7.4528096873158756</v>
      </c>
      <c r="J43" s="531">
        <f t="shared" si="31"/>
        <v>58.427190312684132</v>
      </c>
      <c r="K43" s="531">
        <f>IF(G19,'Typology Baseline - climate adj'!C43*$K$57*H43/SUM('Typology Baseline - climate adj'!C43*$K$57,'Typology Baseline - climate adj'!$D43:$F43),0)</f>
        <v>6.5441535545593972</v>
      </c>
      <c r="L43" s="531">
        <f>IF(H19,($H43-$K43)/SUM('Typology Baseline - climate adj'!$D43:$F43)*'Typology Baseline - climate adj'!D43,0)</f>
        <v>0.775846445440596</v>
      </c>
      <c r="M43" s="531">
        <f>IF('Typology Baseline - climate adj'!E43=0,0,($H43-$K43-$L43)/SUM('Typology Baseline - climate adj'!$E43:$F43)*'Typology Baseline - climate adj'!E43)</f>
        <v>0</v>
      </c>
      <c r="N43" s="618">
        <f>IF('Typology Baseline - climate adj'!F43=0,0,($H43-$K43-$L43)/SUM('Typology Baseline - climate adj'!$E43:$F43)*'Typology Baseline - climate adj'!F43)</f>
        <v>0</v>
      </c>
      <c r="O43" s="612"/>
      <c r="P43" s="526"/>
      <c r="Q43" s="525">
        <f t="shared" si="32"/>
        <v>4.5809074881915777</v>
      </c>
      <c r="R43" s="525">
        <f t="shared" si="33"/>
        <v>0.775846445440596</v>
      </c>
      <c r="S43" s="525">
        <f t="shared" si="34"/>
        <v>0</v>
      </c>
      <c r="T43" s="525">
        <f t="shared" si="35"/>
        <v>0</v>
      </c>
      <c r="U43" s="525"/>
      <c r="V43" s="525">
        <f t="shared" si="48"/>
        <v>5.3567539336321737</v>
      </c>
      <c r="W43" s="533">
        <f t="shared" si="37"/>
        <v>55.998000000000005</v>
      </c>
      <c r="X43" s="533">
        <f t="shared" si="50"/>
        <v>61.354753933632182</v>
      </c>
      <c r="Y43" s="526"/>
      <c r="Z43" s="525">
        <f>SUMPRODUCT(Q43:T43,'Electrification of Gas End Uses'!$D$4:$G$4)</f>
        <v>1.7832821239015486</v>
      </c>
      <c r="AA43" s="533">
        <f t="shared" si="51"/>
        <v>55.998000000000005</v>
      </c>
      <c r="AB43" s="533">
        <f t="shared" si="52"/>
        <v>57.781282123901555</v>
      </c>
      <c r="AD43" s="525">
        <f t="shared" si="49"/>
        <v>4.5809074881915777</v>
      </c>
      <c r="AE43" s="538">
        <f t="shared" si="53"/>
        <v>0.775846445440596</v>
      </c>
      <c r="AF43" s="538">
        <f t="shared" si="42"/>
        <v>0</v>
      </c>
      <c r="AG43" s="538">
        <f t="shared" si="26"/>
        <v>0</v>
      </c>
      <c r="AH43" s="538">
        <f t="shared" si="43"/>
        <v>49.663111765781508</v>
      </c>
      <c r="AI43" s="539">
        <f t="shared" si="44"/>
        <v>5.2169667811211129</v>
      </c>
      <c r="AJ43" s="525">
        <f>SUMPRODUCT(AD43:AG43,'Electrification of Gas End Uses'!$D$4:$G$4)</f>
        <v>1.7832821239015486</v>
      </c>
      <c r="AK43" s="533">
        <f t="shared" si="54"/>
        <v>54.880078546902624</v>
      </c>
      <c r="AL43" s="533">
        <f t="shared" si="46"/>
        <v>56.663360670804174</v>
      </c>
      <c r="AN43" s="534">
        <f>SUMPRODUCT(K43:N43,'Electrification of Gas End Uses'!$D$5:$G$5)</f>
        <v>0.72982313810768518</v>
      </c>
      <c r="AO43" s="521">
        <f>SUMPRODUCT(K43:N43,'Electrification of Gas End Uses'!$D$6:$G$6)</f>
        <v>6.9130072246958125</v>
      </c>
      <c r="AP43" s="540">
        <f>(AH$57+IF(AH43&gt;(AH$60),AH43-AH$60,0))*(1+$AH$59)/'Electrification of Gas End Uses'!$D$12</f>
        <v>19.417564706312604</v>
      </c>
      <c r="AQ43" s="541">
        <f t="shared" si="47"/>
        <v>0.17647058823529405</v>
      </c>
    </row>
    <row r="44" spans="1:43" ht="14.25" x14ac:dyDescent="0.2">
      <c r="B44" s="367" t="str">
        <f>'Typology Baseline - climate adj'!A44</f>
        <v>Lodging</v>
      </c>
      <c r="C44" s="525">
        <f t="shared" si="27"/>
        <v>31174509.199999999</v>
      </c>
      <c r="D44" s="526" t="b">
        <f t="shared" si="28"/>
        <v>1</v>
      </c>
      <c r="E44" s="526" t="str">
        <f t="shared" si="29"/>
        <v>City</v>
      </c>
      <c r="F44" s="617">
        <f t="shared" si="30"/>
        <v>86.1</v>
      </c>
      <c r="G44" s="531">
        <f>IF(D44,D20,'Typology Baseline - climate adj'!H44*$I$57+'Typology Baseline - climate adj'!I44)</f>
        <v>51.660000000000004</v>
      </c>
      <c r="H44" s="531">
        <f>IF(D44,C20,SUM('Typology Baseline - climate adj'!C44*$K$57*$K$58*G20,'Typology Baseline - climate adj'!$D44*H20,'Typology Baseline - climate adj'!$E44:$F44))</f>
        <v>34.439999999999991</v>
      </c>
      <c r="I44" s="531">
        <f>'Typology Baseline - climate adj'!H44*$I$57/'Typology Baseline - climate adj'!G44*G44</f>
        <v>9.1502861445783132</v>
      </c>
      <c r="J44" s="531">
        <f t="shared" si="31"/>
        <v>42.509713855421694</v>
      </c>
      <c r="K44" s="531">
        <f>IF(G20,'Typology Baseline - climate adj'!C44*$K$57*H44/SUM('Typology Baseline - climate adj'!C44*$K$57,'Typology Baseline - climate adj'!$D44:$F44),0)</f>
        <v>9.2748218082289942</v>
      </c>
      <c r="L44" s="531">
        <f>IF(H20,($H44-$K44)/SUM('Typology Baseline - climate adj'!$D44:$F44)*'Typology Baseline - climate adj'!D44,0)</f>
        <v>20.147348099152008</v>
      </c>
      <c r="M44" s="531">
        <f>IF('Typology Baseline - climate adj'!E44=0,0,($H44-$K44-$L44)/SUM('Typology Baseline - climate adj'!$E44:$F44)*'Typology Baseline - climate adj'!E44)</f>
        <v>0</v>
      </c>
      <c r="N44" s="618">
        <f>IF('Typology Baseline - climate adj'!F44=0,0,($H44-$K44-$L44)/SUM('Typology Baseline - climate adj'!$E44:$F44)*'Typology Baseline - climate adj'!F44)</f>
        <v>5.0178300926189898</v>
      </c>
      <c r="O44" s="612"/>
      <c r="P44" s="526"/>
      <c r="Q44" s="525">
        <f t="shared" si="32"/>
        <v>6.4923752657602956</v>
      </c>
      <c r="R44" s="525">
        <f t="shared" si="33"/>
        <v>20.147348099152008</v>
      </c>
      <c r="S44" s="525">
        <f t="shared" si="34"/>
        <v>0</v>
      </c>
      <c r="T44" s="525">
        <f t="shared" si="35"/>
        <v>5.0178300926189898</v>
      </c>
      <c r="U44" s="525"/>
      <c r="V44" s="525">
        <f t="shared" si="48"/>
        <v>31.657553457531293</v>
      </c>
      <c r="W44" s="533">
        <f t="shared" si="37"/>
        <v>43.911000000000001</v>
      </c>
      <c r="X44" s="533">
        <f t="shared" si="50"/>
        <v>75.568553457531294</v>
      </c>
      <c r="Y44" s="526"/>
      <c r="Z44" s="525">
        <f>SUMPRODUCT(Q44:T44,'Electrification of Gas End Uses'!$D$4:$G$4)</f>
        <v>14.76292642968725</v>
      </c>
      <c r="AA44" s="533">
        <f t="shared" si="51"/>
        <v>43.911000000000001</v>
      </c>
      <c r="AB44" s="533">
        <f t="shared" si="52"/>
        <v>58.673926429687249</v>
      </c>
      <c r="AD44" s="525">
        <f t="shared" si="49"/>
        <v>6.4923752657602956</v>
      </c>
      <c r="AE44" s="538">
        <f t="shared" si="53"/>
        <v>20.147348099152008</v>
      </c>
      <c r="AF44" s="538">
        <f t="shared" si="42"/>
        <v>0</v>
      </c>
      <c r="AG44" s="538">
        <f t="shared" si="26"/>
        <v>5.0178300926189898</v>
      </c>
      <c r="AH44" s="538">
        <f t="shared" si="43"/>
        <v>36.133256777108436</v>
      </c>
      <c r="AI44" s="539">
        <f t="shared" si="44"/>
        <v>6.4052003012048191</v>
      </c>
      <c r="AJ44" s="525">
        <f>SUMPRODUCT(AD44:AG44,'Electrification of Gas End Uses'!$D$4:$G$4)</f>
        <v>14.76292642968725</v>
      </c>
      <c r="AK44" s="533">
        <f t="shared" si="54"/>
        <v>42.538457078313257</v>
      </c>
      <c r="AL44" s="533">
        <f t="shared" si="46"/>
        <v>57.301383508000505</v>
      </c>
      <c r="AN44" s="534">
        <f>SUMPRODUCT(K44:N44,'Electrification of Gas End Uses'!$D$5:$G$5)</f>
        <v>6.2217079784135843</v>
      </c>
      <c r="AO44" s="521">
        <f>SUMPRODUCT(K44:N44,'Electrification of Gas End Uses'!$D$6:$G$6)</f>
        <v>17.176040671156606</v>
      </c>
      <c r="AP44" s="540">
        <f>(AH$57+IF(AH44&gt;(AH$60),AH44-AH$60,0))*(1+$AH$59)/'Electrification of Gas End Uses'!$D$12</f>
        <v>14.005622710843374</v>
      </c>
      <c r="AQ44" s="541">
        <f t="shared" si="47"/>
        <v>0.17647058823529405</v>
      </c>
    </row>
    <row r="45" spans="1:43" ht="14.25" x14ac:dyDescent="0.2">
      <c r="B45" s="367" t="str">
        <f>'Typology Baseline - climate adj'!A45</f>
        <v>Mercantile Enclosed and strip malls</v>
      </c>
      <c r="C45" s="525">
        <f t="shared" si="27"/>
        <v>886143</v>
      </c>
      <c r="D45" s="526" t="b">
        <f t="shared" si="28"/>
        <v>0</v>
      </c>
      <c r="E45" s="526" t="str">
        <f t="shared" si="29"/>
        <v>CBECS</v>
      </c>
      <c r="F45" s="617">
        <f t="shared" si="30"/>
        <v>117.93661204299825</v>
      </c>
      <c r="G45" s="531">
        <f>IF(D45,D21,'Typology Baseline - climate adj'!H45*$I$57+'Typology Baseline - climate adj'!I45)</f>
        <v>68.324096385542177</v>
      </c>
      <c r="H45" s="531">
        <f>IF(D45,C21,SUM('Typology Baseline - climate adj'!C45*$K$57*$K$58*G21,'Typology Baseline - climate adj'!$D45*H21,'Typology Baseline - climate adj'!$E45:$F45))</f>
        <v>49.612515657456072</v>
      </c>
      <c r="I45" s="531">
        <f>'Typology Baseline - climate adj'!H46*$I$57/'Typology Baseline - climate adj'!G46*G45</f>
        <v>11.245616979518193</v>
      </c>
      <c r="J45" s="531">
        <f t="shared" si="31"/>
        <v>57.078479406023988</v>
      </c>
      <c r="K45" s="531">
        <f>IF(G21,'Typology Baseline - climate adj'!C45*$K$57*H45/SUM('Typology Baseline - climate adj'!C45*$K$57,'Typology Baseline - climate adj'!$D45:$F45),0)</f>
        <v>16.774085021659083</v>
      </c>
      <c r="L45" s="531">
        <f>IF(H21,($H45-$K45)/SUM('Typology Baseline - climate adj'!$D45:$F45)*'Typology Baseline - climate adj'!D45,0)</f>
        <v>12.720381097932352</v>
      </c>
      <c r="M45" s="531">
        <f>IF('Typology Baseline - climate adj'!E45=0,0,($H45-$K45-$L45)/SUM('Typology Baseline - climate adj'!$E45:$F45)*'Typology Baseline - climate adj'!E45)</f>
        <v>13.893182192067956</v>
      </c>
      <c r="N45" s="618">
        <f>IF('Typology Baseline - climate adj'!F45=0,0,($H45-$K45-$L45)/SUM('Typology Baseline - climate adj'!$E45:$F45)*'Typology Baseline - climate adj'!F45)</f>
        <v>6.2248673457966817</v>
      </c>
      <c r="O45" s="612"/>
      <c r="P45" s="526"/>
      <c r="Q45" s="525">
        <f t="shared" si="32"/>
        <v>11.741859515161357</v>
      </c>
      <c r="R45" s="525">
        <f t="shared" si="33"/>
        <v>12.720381097932352</v>
      </c>
      <c r="S45" s="525">
        <f t="shared" si="34"/>
        <v>13.893182192067956</v>
      </c>
      <c r="T45" s="525">
        <f t="shared" si="35"/>
        <v>6.2248673457966817</v>
      </c>
      <c r="U45" s="525"/>
      <c r="V45" s="525">
        <f t="shared" si="48"/>
        <v>44.580290150958348</v>
      </c>
      <c r="W45" s="533">
        <f t="shared" si="37"/>
        <v>58.075481927710847</v>
      </c>
      <c r="X45" s="533">
        <f t="shared" si="50"/>
        <v>102.6557720786692</v>
      </c>
      <c r="Y45" s="526"/>
      <c r="Z45" s="525">
        <f>SUMPRODUCT(Q45:T45,'Electrification of Gas End Uses'!$D$4:$G$4)</f>
        <v>22.937034823488304</v>
      </c>
      <c r="AA45" s="533">
        <f t="shared" si="51"/>
        <v>58.075481927710847</v>
      </c>
      <c r="AB45" s="533">
        <f t="shared" si="52"/>
        <v>81.012516751199144</v>
      </c>
      <c r="AD45" s="525">
        <f t="shared" si="49"/>
        <v>9.8999999999999986</v>
      </c>
      <c r="AE45" s="538">
        <f t="shared" si="53"/>
        <v>12.720381097932352</v>
      </c>
      <c r="AF45" s="538">
        <f t="shared" si="42"/>
        <v>13.893182192067956</v>
      </c>
      <c r="AG45" s="538">
        <f t="shared" si="26"/>
        <v>6.2248673457966817</v>
      </c>
      <c r="AH45" s="538">
        <f t="shared" si="43"/>
        <v>48.516707495120386</v>
      </c>
      <c r="AI45" s="539">
        <f t="shared" si="44"/>
        <v>7.8719318856627343</v>
      </c>
      <c r="AJ45" s="525">
        <f>SUMPRODUCT(AD45:AG45,'Electrification of Gas End Uses'!$D$4:$G$4)</f>
        <v>22.347639778636669</v>
      </c>
      <c r="AK45" s="533">
        <f t="shared" si="54"/>
        <v>56.388639380783118</v>
      </c>
      <c r="AL45" s="533">
        <f t="shared" si="46"/>
        <v>78.73627915941978</v>
      </c>
      <c r="AN45" s="534">
        <f>SUMPRODUCT(K45:N45,'Electrification of Gas End Uses'!$D$5:$G$5)</f>
        <v>17.498957918862306</v>
      </c>
      <c r="AO45" s="521">
        <f>SUMPRODUCT(K45:N45,'Electrification of Gas End Uses'!$D$6:$G$6)</f>
        <v>33.946885114267189</v>
      </c>
      <c r="AP45" s="540">
        <f>(AH$57+IF(AH45&gt;(AH$60),AH45-AH$60,0))*(1+$AH$59)/'Electrification of Gas End Uses'!$D$12</f>
        <v>18.959002998048156</v>
      </c>
      <c r="AQ45" s="541">
        <f t="shared" si="47"/>
        <v>0.17647058823529427</v>
      </c>
    </row>
    <row r="46" spans="1:43" ht="14.25" x14ac:dyDescent="0.2">
      <c r="B46" s="367" t="str">
        <f>'Typology Baseline - climate adj'!A46</f>
        <v>Mercantile Retail (other than mall)</v>
      </c>
      <c r="C46" s="525">
        <f t="shared" si="27"/>
        <v>1105881</v>
      </c>
      <c r="D46" s="526" t="b">
        <f t="shared" si="28"/>
        <v>0</v>
      </c>
      <c r="E46" s="526" t="str">
        <f t="shared" si="29"/>
        <v>CBECS</v>
      </c>
      <c r="F46" s="617">
        <f t="shared" si="30"/>
        <v>69.522218498152711</v>
      </c>
      <c r="G46" s="531">
        <f>IF(D46,D22,'Typology Baseline - climate adj'!H46*$I$57+'Typology Baseline - climate adj'!I46)</f>
        <v>48.766265060240961</v>
      </c>
      <c r="H46" s="531">
        <f>IF(D46,C22,SUM('Typology Baseline - climate adj'!C46*$K$57*$K$58*G22,'Typology Baseline - climate adj'!$D46*H22,'Typology Baseline - climate adj'!$E46:$F46))</f>
        <v>20.755953437911742</v>
      </c>
      <c r="I46" s="531">
        <f>'Typology Baseline - climate adj'!H45*$I$57/'Typology Baseline - climate adj'!G45*G46</f>
        <v>6.6248119186827683</v>
      </c>
      <c r="J46" s="531">
        <f t="shared" si="31"/>
        <v>42.141453141558195</v>
      </c>
      <c r="K46" s="531">
        <f>IF(G22,'Typology Baseline - climate adj'!C46*$K$57*H46/SUM('Typology Baseline - climate adj'!C46*$K$57,'Typology Baseline - climate adj'!$D46:$F46),0)</f>
        <v>13.903737207997059</v>
      </c>
      <c r="L46" s="531">
        <f>IF(H22,($H46-$K46)/SUM('Typology Baseline - climate adj'!$D46:$F46)*'Typology Baseline - climate adj'!D46,0)</f>
        <v>2.0153577146807891</v>
      </c>
      <c r="M46" s="531">
        <f>IF('Typology Baseline - climate adj'!E46=0,0,($H46-$K46-$L46)/SUM('Typology Baseline - climate adj'!$E46:$F46)*'Typology Baseline - climate adj'!E46)</f>
        <v>4.8368585152338941</v>
      </c>
      <c r="N46" s="618">
        <f>IF('Typology Baseline - climate adj'!F46=0,0,($H46-$K46-$L46)/SUM('Typology Baseline - climate adj'!$E46:$F46)*'Typology Baseline - climate adj'!F46)</f>
        <v>0</v>
      </c>
      <c r="O46" s="612"/>
      <c r="P46" s="526"/>
      <c r="Q46" s="525">
        <f t="shared" si="32"/>
        <v>9.7326160455979416</v>
      </c>
      <c r="R46" s="525">
        <f t="shared" si="33"/>
        <v>2.0153577146807891</v>
      </c>
      <c r="S46" s="525">
        <f t="shared" si="34"/>
        <v>4.8368585152338941</v>
      </c>
      <c r="T46" s="525">
        <f t="shared" si="35"/>
        <v>0</v>
      </c>
      <c r="U46" s="525"/>
      <c r="V46" s="525">
        <f t="shared" si="48"/>
        <v>16.584832275512625</v>
      </c>
      <c r="W46" s="533">
        <f t="shared" si="37"/>
        <v>41.451325301204818</v>
      </c>
      <c r="X46" s="533">
        <f t="shared" si="50"/>
        <v>58.036157576717443</v>
      </c>
      <c r="Y46" s="526"/>
      <c r="Z46" s="525">
        <f>SUMPRODUCT(Q46:T46,'Electrification of Gas End Uses'!$D$4:$G$4)</f>
        <v>6.8855244415073455</v>
      </c>
      <c r="AA46" s="533">
        <f t="shared" si="51"/>
        <v>41.451325301204818</v>
      </c>
      <c r="AB46" s="533">
        <f t="shared" si="52"/>
        <v>48.336849742712161</v>
      </c>
      <c r="AD46" s="525">
        <f t="shared" si="49"/>
        <v>9.7326160455979416</v>
      </c>
      <c r="AE46" s="538">
        <f t="shared" si="53"/>
        <v>2.0153577146807891</v>
      </c>
      <c r="AF46" s="538">
        <f t="shared" si="42"/>
        <v>4.8368585152338941</v>
      </c>
      <c r="AG46" s="538">
        <f t="shared" si="26"/>
        <v>0</v>
      </c>
      <c r="AH46" s="538">
        <f t="shared" si="43"/>
        <v>35.820235170324466</v>
      </c>
      <c r="AI46" s="539">
        <f t="shared" si="44"/>
        <v>4.6373683430779371</v>
      </c>
      <c r="AJ46" s="525">
        <f>SUMPRODUCT(AD46:AG46,'Electrification of Gas End Uses'!$D$4:$G$4)</f>
        <v>6.8855244415073455</v>
      </c>
      <c r="AK46" s="533">
        <f t="shared" si="54"/>
        <v>40.457603513402404</v>
      </c>
      <c r="AL46" s="533">
        <f t="shared" si="46"/>
        <v>47.343127954909747</v>
      </c>
      <c r="AN46" s="534">
        <f>SUMPRODUCT(K46:N46,'Electrification of Gas End Uses'!$D$5:$G$5)</f>
        <v>5.2552079426365754</v>
      </c>
      <c r="AO46" s="521">
        <f>SUMPRODUCT(K46:N46,'Electrification of Gas End Uses'!$D$6:$G$6)</f>
        <v>18.267649097681122</v>
      </c>
      <c r="AP46" s="540">
        <f>(AH$57+IF(AH46&gt;(AH$60),AH46-AH$60,0))*(1+$AH$59)/'Electrification of Gas End Uses'!$D$12</f>
        <v>13.880414068129786</v>
      </c>
      <c r="AQ46" s="541">
        <f t="shared" si="47"/>
        <v>0.17647058823529427</v>
      </c>
    </row>
    <row r="47" spans="1:43" ht="14.25" x14ac:dyDescent="0.2">
      <c r="B47" s="367" t="str">
        <f>'Typology Baseline - climate adj'!A47</f>
        <v>Office</v>
      </c>
      <c r="C47" s="525">
        <f t="shared" si="27"/>
        <v>106512888</v>
      </c>
      <c r="D47" s="526" t="b">
        <f t="shared" si="28"/>
        <v>1</v>
      </c>
      <c r="E47" s="526" t="str">
        <f t="shared" si="29"/>
        <v>City</v>
      </c>
      <c r="F47" s="617">
        <f t="shared" si="30"/>
        <v>60.9</v>
      </c>
      <c r="G47" s="531">
        <f>IF(D47,D23,'Typology Baseline - climate adj'!H47*$I$57+'Typology Baseline - climate adj'!I47)</f>
        <v>60</v>
      </c>
      <c r="H47" s="531">
        <f>IF(D47,C23,SUM('Typology Baseline - climate adj'!C47*$K$57*$K$58*G23,'Typology Baseline - climate adj'!$D47*H23,'Typology Baseline - climate adj'!$E47:$F47))</f>
        <v>0.9</v>
      </c>
      <c r="I47" s="531">
        <f>'Typology Baseline - climate adj'!H47*$I$57/'Typology Baseline - climate adj'!G47*G47</f>
        <v>9.299142093666493</v>
      </c>
      <c r="J47" s="531">
        <f t="shared" si="31"/>
        <v>50.700857906333511</v>
      </c>
      <c r="K47" s="531">
        <f>IF(G23,'Typology Baseline - climate adj'!C47*$K$57*H47/SUM('Typology Baseline - climate adj'!C47*$K$57,'Typology Baseline - climate adj'!$D47:$F47),0)</f>
        <v>0.54323739673252436</v>
      </c>
      <c r="L47" s="531">
        <f>IF(H23,($H47-$K47)/SUM('Typology Baseline - climate adj'!$D47:$F47)*'Typology Baseline - climate adj'!D47,0)</f>
        <v>0.12059580955520305</v>
      </c>
      <c r="M47" s="531">
        <f>IF('Typology Baseline - climate adj'!E47=0,0,($H47-$K47-$L47)/SUM('Typology Baseline - climate adj'!$E47:$F47)*'Typology Baseline - climate adj'!E47)</f>
        <v>0</v>
      </c>
      <c r="N47" s="618">
        <f>IF('Typology Baseline - climate adj'!F47=0,0,($H47-$K47-$L47)/SUM('Typology Baseline - climate adj'!$E47:$F47)*'Typology Baseline - climate adj'!F47)</f>
        <v>0.23616679371227262</v>
      </c>
      <c r="O47" s="612"/>
      <c r="P47" s="526"/>
      <c r="Q47" s="525">
        <f t="shared" si="32"/>
        <v>0.38026617771276705</v>
      </c>
      <c r="R47" s="525">
        <f t="shared" si="33"/>
        <v>0.12059580955520305</v>
      </c>
      <c r="S47" s="525">
        <f t="shared" si="34"/>
        <v>0</v>
      </c>
      <c r="T47" s="525">
        <f t="shared" si="35"/>
        <v>0.23616679371227262</v>
      </c>
      <c r="U47" s="525"/>
      <c r="V47" s="525">
        <f t="shared" si="48"/>
        <v>0.73702878098024271</v>
      </c>
      <c r="W47" s="533">
        <f t="shared" si="37"/>
        <v>51</v>
      </c>
      <c r="X47" s="533">
        <f t="shared" si="50"/>
        <v>51.737028780980239</v>
      </c>
      <c r="Y47" s="526"/>
      <c r="Z47" s="525">
        <f>SUMPRODUCT(Q47:T47,'Electrification of Gas End Uses'!$D$4:$G$4)</f>
        <v>0.38014462066381899</v>
      </c>
      <c r="AA47" s="533">
        <f t="shared" si="51"/>
        <v>51</v>
      </c>
      <c r="AB47" s="533">
        <f t="shared" si="52"/>
        <v>51.38014462066382</v>
      </c>
      <c r="AD47" s="525">
        <f t="shared" si="49"/>
        <v>0.38026617771276705</v>
      </c>
      <c r="AE47" s="538">
        <f t="shared" si="53"/>
        <v>0.12059580955520305</v>
      </c>
      <c r="AF47" s="538">
        <f t="shared" si="42"/>
        <v>0</v>
      </c>
      <c r="AG47" s="538">
        <f t="shared" si="26"/>
        <v>0.23616679371227262</v>
      </c>
      <c r="AH47" s="538">
        <f t="shared" si="43"/>
        <v>43.095729220383483</v>
      </c>
      <c r="AI47" s="539">
        <f t="shared" si="44"/>
        <v>6.5093994655665446</v>
      </c>
      <c r="AJ47" s="525">
        <f>SUMPRODUCT(AD47:AG47,'Electrification of Gas End Uses'!$D$4:$G$4)</f>
        <v>0.38014462066381899</v>
      </c>
      <c r="AK47" s="533">
        <f t="shared" si="54"/>
        <v>49.605128685950028</v>
      </c>
      <c r="AL47" s="533">
        <f t="shared" si="46"/>
        <v>49.985273306613848</v>
      </c>
      <c r="AN47" s="534">
        <f>SUMPRODUCT(K47:N47,'Electrification of Gas End Uses'!$D$5:$G$5)</f>
        <v>0.21752530178854046</v>
      </c>
      <c r="AO47" s="521">
        <f>SUMPRODUCT(K47:N47,'Electrification of Gas End Uses'!$D$6:$G$6)</f>
        <v>0.72781320046006137</v>
      </c>
      <c r="AP47" s="540">
        <f>(AH$57+IF(AH47&gt;(AH$60),AH47-AH$60,0))*(1+$AH$59)/'Electrification of Gas End Uses'!$D$12</f>
        <v>16.790611688153394</v>
      </c>
      <c r="AQ47" s="541">
        <f t="shared" si="47"/>
        <v>0.17647058823529416</v>
      </c>
    </row>
    <row r="48" spans="1:43" ht="14.25" x14ac:dyDescent="0.2">
      <c r="B48" s="367" t="str">
        <f>'Typology Baseline - climate adj'!A48</f>
        <v>Other</v>
      </c>
      <c r="C48" s="525">
        <f t="shared" si="27"/>
        <v>6039572.7999999998</v>
      </c>
      <c r="D48" s="526" t="b">
        <f t="shared" si="28"/>
        <v>1</v>
      </c>
      <c r="E48" s="526" t="str">
        <f t="shared" si="29"/>
        <v>City</v>
      </c>
      <c r="F48" s="617">
        <f t="shared" si="30"/>
        <v>84.1</v>
      </c>
      <c r="G48" s="531">
        <f>IF(D48,D24,'Typology Baseline - climate adj'!H48*$I$57+'Typology Baseline - climate adj'!I48)</f>
        <v>58.870000000000005</v>
      </c>
      <c r="H48" s="531">
        <f>IF(D48,C24,SUM('Typology Baseline - climate adj'!C48*$K$57*$K$58*G24,'Typology Baseline - climate adj'!$D48*H24,'Typology Baseline - climate adj'!$E48:$F48))</f>
        <v>25.22999999999999</v>
      </c>
      <c r="I48" s="531">
        <f>'Typology Baseline - climate adj'!H49*$I$57/'Typology Baseline - climate adj'!G49*G48</f>
        <v>24.710765142016029</v>
      </c>
      <c r="J48" s="531">
        <f t="shared" si="31"/>
        <v>34.159234857983975</v>
      </c>
      <c r="K48" s="531">
        <f>IF(G24,'Typology Baseline - climate adj'!C48*$K$57*H48/SUM('Typology Baseline - climate adj'!C48*$K$57,'Typology Baseline - climate adj'!$D48:$F48),0)</f>
        <v>23.77896712402077</v>
      </c>
      <c r="L48" s="531">
        <f>IF(H24,($H48-$K48)/SUM('Typology Baseline - climate adj'!$D48:$F48)*'Typology Baseline - climate adj'!D48,0)</f>
        <v>1.4510328759792193</v>
      </c>
      <c r="M48" s="531">
        <f>IF('Typology Baseline - climate adj'!E48=0,0,($H48-$K48-$L48)/SUM('Typology Baseline - climate adj'!$E48:$F48)*'Typology Baseline - climate adj'!E48)</f>
        <v>0</v>
      </c>
      <c r="N48" s="618">
        <f>IF('Typology Baseline - climate adj'!F48=0,0,($H48-$K48-$L48)/SUM('Typology Baseline - climate adj'!$E48:$F48)*'Typology Baseline - climate adj'!F48)</f>
        <v>0</v>
      </c>
      <c r="O48" s="612"/>
      <c r="P48" s="526"/>
      <c r="Q48" s="525">
        <f t="shared" si="32"/>
        <v>16.645276986814537</v>
      </c>
      <c r="R48" s="525">
        <f t="shared" si="33"/>
        <v>1.4510328759792193</v>
      </c>
      <c r="S48" s="525">
        <f t="shared" si="34"/>
        <v>0</v>
      </c>
      <c r="T48" s="525">
        <f t="shared" si="35"/>
        <v>0</v>
      </c>
      <c r="U48" s="525"/>
      <c r="V48" s="525">
        <f t="shared" si="48"/>
        <v>18.096309862793756</v>
      </c>
      <c r="W48" s="533">
        <f t="shared" si="37"/>
        <v>50.039500000000004</v>
      </c>
      <c r="X48" s="533">
        <f t="shared" si="50"/>
        <v>68.135809862793764</v>
      </c>
      <c r="Y48" s="526"/>
      <c r="Z48" s="525">
        <f>SUMPRODUCT(Q48:T48,'Electrification of Gas End Uses'!$D$4:$G$4)</f>
        <v>5.9200929941357865</v>
      </c>
      <c r="AA48" s="533">
        <f t="shared" si="51"/>
        <v>50.039500000000004</v>
      </c>
      <c r="AB48" s="533">
        <f t="shared" si="52"/>
        <v>55.959592994135789</v>
      </c>
      <c r="AD48" s="525">
        <f t="shared" si="49"/>
        <v>9.8999999999999986</v>
      </c>
      <c r="AE48" s="538">
        <f t="shared" si="53"/>
        <v>1.4510328759792193</v>
      </c>
      <c r="AF48" s="538">
        <f t="shared" si="42"/>
        <v>0</v>
      </c>
      <c r="AG48" s="538">
        <f t="shared" si="26"/>
        <v>0</v>
      </c>
      <c r="AH48" s="538">
        <f t="shared" si="43"/>
        <v>29.03534962928638</v>
      </c>
      <c r="AI48" s="539">
        <f t="shared" si="44"/>
        <v>17.297535599411219</v>
      </c>
      <c r="AJ48" s="525">
        <f>SUMPRODUCT(AD48:AG48,'Electrification of Gas End Uses'!$D$4:$G$4)</f>
        <v>3.7616043583551351</v>
      </c>
      <c r="AK48" s="533">
        <f t="shared" si="54"/>
        <v>46.332885228697599</v>
      </c>
      <c r="AL48" s="533">
        <f t="shared" si="46"/>
        <v>50.094489587052735</v>
      </c>
      <c r="AN48" s="534">
        <f>SUMPRODUCT(K48:N48,'Electrification of Gas End Uses'!$D$5:$G$5)</f>
        <v>2.5099233570186881</v>
      </c>
      <c r="AO48" s="521">
        <f>SUMPRODUCT(K48:N48,'Electrification of Gas End Uses'!$D$6:$G$6)</f>
        <v>24.804505816800535</v>
      </c>
      <c r="AP48" s="540">
        <f>(AH$57+IF(AH48&gt;(AH$60),AH48-AH$60,0))*(1+$AH$59)/'Electrification of Gas End Uses'!$D$12</f>
        <v>11.166459851714553</v>
      </c>
      <c r="AQ48" s="541">
        <f t="shared" si="47"/>
        <v>0.17647058823529416</v>
      </c>
    </row>
    <row r="49" spans="1:43" ht="14.25" x14ac:dyDescent="0.2">
      <c r="B49" s="367" t="str">
        <f>'Typology Baseline - climate adj'!A49</f>
        <v>Public assembly</v>
      </c>
      <c r="C49" s="525">
        <f t="shared" si="27"/>
        <v>2096698</v>
      </c>
      <c r="D49" s="526" t="b">
        <f t="shared" si="28"/>
        <v>1</v>
      </c>
      <c r="E49" s="526" t="str">
        <f t="shared" si="29"/>
        <v>City</v>
      </c>
      <c r="F49" s="617">
        <f t="shared" si="30"/>
        <v>101.3</v>
      </c>
      <c r="G49" s="531">
        <f>IF(D49,D25,'Typology Baseline - climate adj'!H49*$I$57+'Typology Baseline - climate adj'!I49)</f>
        <v>60.780000000000008</v>
      </c>
      <c r="H49" s="531">
        <f>IF(D49,C25,SUM('Typology Baseline - climate adj'!C49*$K$57*$K$58*G25,'Typology Baseline - climate adj'!$D49*H25,'Typology Baseline - climate adj'!$E49:$F49))</f>
        <v>40.519999999999989</v>
      </c>
      <c r="I49" s="531">
        <f>'Typology Baseline - climate adj'!H50*$I$57/'Typology Baseline - climate adj'!G50*G49</f>
        <v>15.927289156626504</v>
      </c>
      <c r="J49" s="531">
        <f t="shared" si="31"/>
        <v>44.852710843373501</v>
      </c>
      <c r="K49" s="531">
        <f>IF(G25,'Typology Baseline - climate adj'!C49*$K$57*H49/SUM('Typology Baseline - climate adj'!C49*$K$57,'Typology Baseline - climate adj'!$D49:$F49),0)</f>
        <v>28.051985962014854</v>
      </c>
      <c r="L49" s="531">
        <f>IF(H25,($H49-$K49)/SUM('Typology Baseline - climate adj'!$D49:$F49)*'Typology Baseline - climate adj'!D49,0)</f>
        <v>1.9835476878612717</v>
      </c>
      <c r="M49" s="531">
        <f>IF('Typology Baseline - climate adj'!E49=0,0,($H49-$K49-$L49)/SUM('Typology Baseline - climate adj'!$E49:$F49)*'Typology Baseline - climate adj'!E49)</f>
        <v>6.0450977153867314</v>
      </c>
      <c r="N49" s="618">
        <f>IF('Typology Baseline - climate adj'!F49=0,0,($H49-$K49-$L49)/SUM('Typology Baseline - climate adj'!$E49:$F49)*'Typology Baseline - climate adj'!F49)</f>
        <v>4.4393686347371313</v>
      </c>
      <c r="O49" s="612"/>
      <c r="P49" s="526"/>
      <c r="Q49" s="525">
        <f t="shared" si="32"/>
        <v>19.636390173410398</v>
      </c>
      <c r="R49" s="525">
        <f t="shared" si="33"/>
        <v>1.9835476878612717</v>
      </c>
      <c r="S49" s="525">
        <f t="shared" si="34"/>
        <v>6.0450977153867314</v>
      </c>
      <c r="T49" s="525">
        <f t="shared" si="35"/>
        <v>4.4393686347371313</v>
      </c>
      <c r="U49" s="525"/>
      <c r="V49" s="525">
        <f t="shared" si="48"/>
        <v>32.104404211395533</v>
      </c>
      <c r="W49" s="533">
        <f t="shared" si="37"/>
        <v>51.663000000000004</v>
      </c>
      <c r="X49" s="533">
        <f t="shared" si="50"/>
        <v>83.76740421139553</v>
      </c>
      <c r="Y49" s="526"/>
      <c r="Z49" s="525">
        <f>SUMPRODUCT(Q49:T49,'Electrification of Gas End Uses'!$D$4:$G$4)</f>
        <v>14.708824415473366</v>
      </c>
      <c r="AA49" s="533">
        <f t="shared" si="51"/>
        <v>51.663000000000004</v>
      </c>
      <c r="AB49" s="533">
        <f t="shared" si="52"/>
        <v>66.37182441547337</v>
      </c>
      <c r="AD49" s="525">
        <f t="shared" si="49"/>
        <v>9.8999999999999986</v>
      </c>
      <c r="AE49" s="538">
        <f t="shared" si="53"/>
        <v>1.9835476878612717</v>
      </c>
      <c r="AF49" s="538">
        <f t="shared" si="42"/>
        <v>6.0450977153867314</v>
      </c>
      <c r="AG49" s="538">
        <f t="shared" si="26"/>
        <v>4.4393686347371313</v>
      </c>
      <c r="AH49" s="538">
        <f t="shared" si="43"/>
        <v>38.124804216867474</v>
      </c>
      <c r="AI49" s="539">
        <f t="shared" si="44"/>
        <v>14.80224168674699</v>
      </c>
      <c r="AJ49" s="525">
        <f>SUMPRODUCT(AD49:AG49,'Electrification of Gas End Uses'!$D$4:$G$4)</f>
        <v>11.593179559982039</v>
      </c>
      <c r="AK49" s="533">
        <f t="shared" si="54"/>
        <v>52.927045903614463</v>
      </c>
      <c r="AL49" s="533">
        <f t="shared" si="46"/>
        <v>64.520225463596503</v>
      </c>
      <c r="AN49" s="534">
        <f>SUMPRODUCT(K49:N49,'Electrification of Gas End Uses'!$D$5:$G$5)</f>
        <v>10.41209962998721</v>
      </c>
      <c r="AO49" s="521">
        <f>SUMPRODUCT(K49:N49,'Electrification of Gas End Uses'!$D$6:$G$6)</f>
        <v>36.344417883311827</v>
      </c>
      <c r="AP49" s="540">
        <f>(AH$57+IF(AH49&gt;(AH$60),AH49-AH$60,0))*(1+$AH$59)/'Electrification of Gas End Uses'!$D$12</f>
        <v>14.80224168674699</v>
      </c>
      <c r="AQ49" s="541">
        <f t="shared" si="47"/>
        <v>-9.3368859770026402E-2</v>
      </c>
    </row>
    <row r="50" spans="1:43" ht="14.25" x14ac:dyDescent="0.2">
      <c r="B50" s="367" t="str">
        <f>'Typology Baseline - climate adj'!A50</f>
        <v>Public order and safety</v>
      </c>
      <c r="C50" s="525">
        <f t="shared" si="27"/>
        <v>1416930</v>
      </c>
      <c r="D50" s="526" t="b">
        <f t="shared" si="28"/>
        <v>1</v>
      </c>
      <c r="E50" s="526" t="str">
        <f t="shared" si="29"/>
        <v>City</v>
      </c>
      <c r="F50" s="617">
        <f t="shared" si="30"/>
        <v>87.2</v>
      </c>
      <c r="G50" s="531">
        <f>IF(D50,D26,'Typology Baseline - climate adj'!H50*$I$57+'Typology Baseline - climate adj'!I50)</f>
        <v>52.320000000000007</v>
      </c>
      <c r="H50" s="531">
        <f>IF(D50,C26,SUM('Typology Baseline - climate adj'!C50*$K$57*$K$58*G26,'Typology Baseline - climate adj'!$D50*H26,'Typology Baseline - climate adj'!$E50:$F50))</f>
        <v>34.879999999999995</v>
      </c>
      <c r="I50" s="531">
        <f>'Typology Baseline - climate adj'!H51*$I$57/'Typology Baseline - climate adj'!G51*G50</f>
        <v>12.416931120709252</v>
      </c>
      <c r="J50" s="531">
        <f t="shared" si="31"/>
        <v>39.903068879290757</v>
      </c>
      <c r="K50" s="531">
        <f>IF(G26,'Typology Baseline - climate adj'!C50*$K$57*H50/SUM('Typology Baseline - climate adj'!C50*$K$57,'Typology Baseline - climate adj'!$D50:$F50),0)</f>
        <v>16.244911997339731</v>
      </c>
      <c r="L50" s="531">
        <f>IF(H26,($H50-$K50)/SUM('Typology Baseline - climate adj'!$D50:$F50)*'Typology Baseline - climate adj'!D50,0)</f>
        <v>16.01569812276826</v>
      </c>
      <c r="M50" s="531">
        <f>IF('Typology Baseline - climate adj'!E50=0,0,($H50-$K50-$L50)/SUM('Typology Baseline - climate adj'!$E50:$F50)*'Typology Baseline - climate adj'!E50)</f>
        <v>2.6193898798920046</v>
      </c>
      <c r="N50" s="618">
        <f>IF('Typology Baseline - climate adj'!F50=0,0,($H50-$K50-$L50)/SUM('Typology Baseline - climate adj'!$E50:$F50)*'Typology Baseline - climate adj'!F50)</f>
        <v>0</v>
      </c>
      <c r="O50" s="612"/>
      <c r="P50" s="526"/>
      <c r="Q50" s="525">
        <f t="shared" si="32"/>
        <v>11.37143839813781</v>
      </c>
      <c r="R50" s="525">
        <f t="shared" si="33"/>
        <v>16.01569812276826</v>
      </c>
      <c r="S50" s="525">
        <f t="shared" si="34"/>
        <v>2.6193898798920046</v>
      </c>
      <c r="T50" s="525">
        <f t="shared" si="35"/>
        <v>0</v>
      </c>
      <c r="U50" s="525"/>
      <c r="V50" s="525">
        <f t="shared" si="48"/>
        <v>30.006526400798073</v>
      </c>
      <c r="W50" s="533">
        <f t="shared" si="37"/>
        <v>44.472000000000008</v>
      </c>
      <c r="X50" s="533">
        <f t="shared" si="50"/>
        <v>74.478526400798074</v>
      </c>
      <c r="Y50" s="526"/>
      <c r="Z50" s="525">
        <f>SUMPRODUCT(Q50:T50,'Electrification of Gas End Uses'!$D$4:$G$4)</f>
        <v>11.786473753371</v>
      </c>
      <c r="AA50" s="533">
        <f t="shared" si="51"/>
        <v>44.472000000000008</v>
      </c>
      <c r="AB50" s="533">
        <f t="shared" si="52"/>
        <v>56.258473753371007</v>
      </c>
      <c r="AD50" s="525">
        <f t="shared" si="49"/>
        <v>9.8999999999999986</v>
      </c>
      <c r="AE50" s="538">
        <f t="shared" si="53"/>
        <v>16.01569812276826</v>
      </c>
      <c r="AF50" s="538">
        <f t="shared" si="42"/>
        <v>2.6193898798920046</v>
      </c>
      <c r="AG50" s="538">
        <f t="shared" si="26"/>
        <v>0</v>
      </c>
      <c r="AH50" s="538">
        <f t="shared" si="43"/>
        <v>33.917608547397144</v>
      </c>
      <c r="AI50" s="539">
        <f t="shared" si="44"/>
        <v>8.6918517844964764</v>
      </c>
      <c r="AJ50" s="525">
        <f>SUMPRODUCT(AD50:AG50,'Electrification of Gas End Uses'!$D$4:$G$4)</f>
        <v>11.3156134659669</v>
      </c>
      <c r="AK50" s="533">
        <f t="shared" si="54"/>
        <v>42.609460331893622</v>
      </c>
      <c r="AL50" s="533">
        <f t="shared" si="46"/>
        <v>53.92507379786052</v>
      </c>
      <c r="AN50" s="534">
        <f>SUMPRODUCT(K50:N50,'Electrification of Gas End Uses'!$D$5:$G$5)</f>
        <v>5.2594737693857541</v>
      </c>
      <c r="AO50" s="521">
        <f>SUMPRODUCT(K50:N50,'Electrification of Gas End Uses'!$D$6:$G$6)</f>
        <v>22.295086206840288</v>
      </c>
      <c r="AP50" s="540">
        <f>(AH$57+IF(AH50&gt;(AH$60),AH50-AH$60,0))*(1+$AH$59)/'Electrification of Gas End Uses'!$D$12</f>
        <v>13.119363418958859</v>
      </c>
      <c r="AQ50" s="541">
        <f t="shared" si="47"/>
        <v>0.17647058823529416</v>
      </c>
    </row>
    <row r="51" spans="1:43" ht="14.25" x14ac:dyDescent="0.2">
      <c r="B51" s="367" t="str">
        <f>'Typology Baseline - climate adj'!A51</f>
        <v>Religious worship</v>
      </c>
      <c r="C51" s="525">
        <f t="shared" si="27"/>
        <v>1588064</v>
      </c>
      <c r="D51" s="526" t="b">
        <f t="shared" si="28"/>
        <v>1</v>
      </c>
      <c r="E51" s="526" t="str">
        <f t="shared" si="29"/>
        <v>City</v>
      </c>
      <c r="F51" s="617">
        <f t="shared" si="30"/>
        <v>58.05</v>
      </c>
      <c r="G51" s="531">
        <f>IF(D51,D27,'Typology Baseline - climate adj'!H51*$I$57+'Typology Baseline - climate adj'!I51)</f>
        <v>31.927500000000002</v>
      </c>
      <c r="H51" s="531">
        <f>IF(D51,C27,SUM('Typology Baseline - climate adj'!C51*$K$57*$K$58*G27,'Typology Baseline - climate adj'!$D51*H27,'Typology Baseline - climate adj'!$E51:$F51))</f>
        <v>26.122499999999995</v>
      </c>
      <c r="I51" s="531">
        <f>'Typology Baseline - climate adj'!H52*$I$57/'Typology Baseline - climate adj'!G52*G51</f>
        <v>5.5993988795649523</v>
      </c>
      <c r="J51" s="531">
        <f t="shared" si="31"/>
        <v>26.328101120435051</v>
      </c>
      <c r="K51" s="531">
        <f>IF(G27,'Typology Baseline - climate adj'!C51*$K$57*H51/SUM('Typology Baseline - climate adj'!C51*$K$57,'Typology Baseline - climate adj'!$D51:$F51),0)</f>
        <v>20.62988389492352</v>
      </c>
      <c r="L51" s="531">
        <f>IF(H27,($H51-$K51)/SUM('Typology Baseline - climate adj'!$D51:$F51)*'Typology Baseline - climate adj'!D51,0)</f>
        <v>0</v>
      </c>
      <c r="M51" s="531">
        <f>IF('Typology Baseline - climate adj'!E51=0,0,($H51-$K51-$L51)/SUM('Typology Baseline - climate adj'!$E51:$F51)*'Typology Baseline - climate adj'!E51)</f>
        <v>5.4926161050764755</v>
      </c>
      <c r="N51" s="618">
        <f>IF('Typology Baseline - climate adj'!F51=0,0,($H51-$K51-$L51)/SUM('Typology Baseline - climate adj'!$E51:$F51)*'Typology Baseline - climate adj'!F51)</f>
        <v>0</v>
      </c>
      <c r="O51" s="612"/>
      <c r="P51" s="526"/>
      <c r="Q51" s="525">
        <f t="shared" si="32"/>
        <v>14.440918726446462</v>
      </c>
      <c r="R51" s="525">
        <f t="shared" si="33"/>
        <v>0</v>
      </c>
      <c r="S51" s="525">
        <f t="shared" si="34"/>
        <v>5.4926161050764755</v>
      </c>
      <c r="T51" s="525">
        <f t="shared" si="35"/>
        <v>0</v>
      </c>
      <c r="U51" s="525"/>
      <c r="V51" s="525">
        <f t="shared" si="48"/>
        <v>19.933534831522937</v>
      </c>
      <c r="W51" s="533">
        <f t="shared" si="37"/>
        <v>27.138375</v>
      </c>
      <c r="X51" s="533">
        <f t="shared" si="50"/>
        <v>47.071909831522937</v>
      </c>
      <c r="Y51" s="526"/>
      <c r="Z51" s="525">
        <f>SUMPRODUCT(Q51:T51,'Electrification of Gas End Uses'!$D$4:$G$4)</f>
        <v>7.9672054666751997</v>
      </c>
      <c r="AA51" s="533">
        <f t="shared" si="51"/>
        <v>27.138375</v>
      </c>
      <c r="AB51" s="533">
        <f t="shared" si="52"/>
        <v>35.1055804666752</v>
      </c>
      <c r="AD51" s="525">
        <f t="shared" si="49"/>
        <v>9.8999999999999986</v>
      </c>
      <c r="AE51" s="538">
        <f t="shared" si="53"/>
        <v>0</v>
      </c>
      <c r="AF51" s="538">
        <f t="shared" si="42"/>
        <v>5.4926161050764755</v>
      </c>
      <c r="AG51" s="538">
        <f t="shared" si="26"/>
        <v>0</v>
      </c>
      <c r="AH51" s="538">
        <f t="shared" si="43"/>
        <v>22.378885952369792</v>
      </c>
      <c r="AI51" s="539">
        <f t="shared" si="44"/>
        <v>3.9195792156954665</v>
      </c>
      <c r="AJ51" s="525">
        <f>SUMPRODUCT(AD51:AG51,'Electrification of Gas End Uses'!$D$4:$G$4)</f>
        <v>6.5141114742123314</v>
      </c>
      <c r="AK51" s="533">
        <f t="shared" si="54"/>
        <v>26.29846516806526</v>
      </c>
      <c r="AL51" s="533">
        <f t="shared" si="46"/>
        <v>32.812576642277591</v>
      </c>
      <c r="AN51" s="534">
        <f>SUMPRODUCT(K51:N51,'Electrification of Gas End Uses'!$D$5:$G$5)</f>
        <v>6.2105178950477953</v>
      </c>
      <c r="AO51" s="521">
        <f>SUMPRODUCT(K51:N51,'Electrification of Gas End Uses'!$D$6:$G$6)</f>
        <v>25.199763819969235</v>
      </c>
      <c r="AP51" s="540">
        <f>(AH$57+IF(AH51&gt;(AH$60),AH51-AH$60,0))*(1+$AH$59)/'Electrification of Gas End Uses'!$D$12</f>
        <v>8.5038743809479165</v>
      </c>
      <c r="AQ51" s="541">
        <f t="shared" si="47"/>
        <v>0.17647058823529416</v>
      </c>
    </row>
    <row r="52" spans="1:43" ht="14.25" x14ac:dyDescent="0.2">
      <c r="B52" s="367" t="str">
        <f>'Typology Baseline - climate adj'!A52</f>
        <v>Service</v>
      </c>
      <c r="C52" s="525">
        <f t="shared" si="27"/>
        <v>268228</v>
      </c>
      <c r="D52" s="526" t="b">
        <f t="shared" si="28"/>
        <v>0</v>
      </c>
      <c r="E52" s="526" t="str">
        <f t="shared" si="29"/>
        <v>CBECS</v>
      </c>
      <c r="F52" s="617">
        <f t="shared" si="30"/>
        <v>62.130953161802495</v>
      </c>
      <c r="G52" s="531">
        <f>IF(D52,D28,'Typology Baseline - climate adj'!H52*$I$57+'Typology Baseline - climate adj'!I52)</f>
        <v>25.90722891566265</v>
      </c>
      <c r="H52" s="531">
        <f>IF(D52,C28,SUM('Typology Baseline - climate adj'!C52*$K$57*$K$58*G28,'Typology Baseline - climate adj'!$D52*H28,'Typology Baseline - climate adj'!$E52:$F52))</f>
        <v>36.223724246139845</v>
      </c>
      <c r="I52" s="531">
        <f>'Typology Baseline - climate adj'!H53*$I$57/'Typology Baseline - climate adj'!G53*G52</f>
        <v>4.2548211166803673</v>
      </c>
      <c r="J52" s="531">
        <f t="shared" si="31"/>
        <v>21.652407798982281</v>
      </c>
      <c r="K52" s="531">
        <f>IF(G28,'Typology Baseline - climate adj'!C52*$K$57*H52/SUM('Typology Baseline - climate adj'!C52*$K$57,'Typology Baseline - climate adj'!$D52:$F52),0)</f>
        <v>24.113399461160945</v>
      </c>
      <c r="L52" s="531">
        <f>IF(H28,($H52-$K52)/SUM('Typology Baseline - climate adj'!$D52:$F52)*'Typology Baseline - climate adj'!D52,0)</f>
        <v>12.1103247849789</v>
      </c>
      <c r="M52" s="531">
        <f>IF('Typology Baseline - climate adj'!E52=0,0,($H52-$K52-$L52)/SUM('Typology Baseline - climate adj'!$E52:$F52)*'Typology Baseline - climate adj'!E52)</f>
        <v>0</v>
      </c>
      <c r="N52" s="618">
        <f>IF('Typology Baseline - climate adj'!F52=0,0,($H52-$K52-$L52)/SUM('Typology Baseline - climate adj'!$E52:$F52)*'Typology Baseline - climate adj'!F52)</f>
        <v>0</v>
      </c>
      <c r="O52" s="612"/>
      <c r="P52" s="526"/>
      <c r="Q52" s="525">
        <f t="shared" si="32"/>
        <v>16.87937962281266</v>
      </c>
      <c r="R52" s="525">
        <f t="shared" si="33"/>
        <v>12.1103247849789</v>
      </c>
      <c r="S52" s="525">
        <f t="shared" si="34"/>
        <v>0</v>
      </c>
      <c r="T52" s="525">
        <f t="shared" si="35"/>
        <v>0</v>
      </c>
      <c r="U52" s="525"/>
      <c r="V52" s="525">
        <f t="shared" si="48"/>
        <v>28.98970440779156</v>
      </c>
      <c r="W52" s="533">
        <f t="shared" si="37"/>
        <v>22.021144578313251</v>
      </c>
      <c r="X52" s="533">
        <f t="shared" si="50"/>
        <v>51.010848986104811</v>
      </c>
      <c r="Y52" s="526"/>
      <c r="Z52" s="525">
        <f>SUMPRODUCT(Q52:T52,'Electrification of Gas End Uses'!$D$4:$G$4)</f>
        <v>10.355625254973237</v>
      </c>
      <c r="AA52" s="533">
        <f t="shared" si="51"/>
        <v>22.021144578313251</v>
      </c>
      <c r="AB52" s="533">
        <f t="shared" si="52"/>
        <v>32.376769833286488</v>
      </c>
      <c r="AD52" s="525">
        <f t="shared" si="49"/>
        <v>9.8999999999999986</v>
      </c>
      <c r="AE52" s="538">
        <f t="shared" si="53"/>
        <v>12.1103247849789</v>
      </c>
      <c r="AF52" s="538">
        <f t="shared" si="53"/>
        <v>0</v>
      </c>
      <c r="AG52" s="538">
        <f t="shared" si="26"/>
        <v>0</v>
      </c>
      <c r="AH52" s="538">
        <f t="shared" si="43"/>
        <v>18.404546629134938</v>
      </c>
      <c r="AI52" s="539">
        <f t="shared" si="44"/>
        <v>2.9783747816762571</v>
      </c>
      <c r="AJ52" s="525">
        <f>SUMPRODUCT(AD52:AG52,'Electrification of Gas End Uses'!$D$4:$G$4)</f>
        <v>8.1222237756731861</v>
      </c>
      <c r="AK52" s="533">
        <f t="shared" si="54"/>
        <v>21.382921410811196</v>
      </c>
      <c r="AL52" s="533">
        <f t="shared" si="46"/>
        <v>29.505145186484384</v>
      </c>
      <c r="AN52" s="534">
        <f>SUMPRODUCT(K52:N52,'Electrification of Gas End Uses'!$D$5:$G$5)</f>
        <v>3.6492906341108928</v>
      </c>
      <c r="AO52" s="521">
        <f>SUMPRODUCT(K52:N52,'Electrification of Gas End Uses'!$D$6:$G$6)</f>
        <v>27.600870826042758</v>
      </c>
      <c r="AP52" s="540">
        <f>(AH$57+IF(AH52&gt;(AH$60),AH52-AH$60,0))*(1+$AH$59)/'Electrification of Gas End Uses'!$D$12</f>
        <v>6.9141386516539738</v>
      </c>
      <c r="AQ52" s="541">
        <f t="shared" si="47"/>
        <v>0.17647058823529405</v>
      </c>
    </row>
    <row r="53" spans="1:43" ht="14.25" x14ac:dyDescent="0.2">
      <c r="B53" s="367" t="str">
        <f>'Typology Baseline - climate adj'!A53</f>
        <v>Warehouse and storage</v>
      </c>
      <c r="C53" s="525">
        <f t="shared" si="27"/>
        <v>3460183</v>
      </c>
      <c r="D53" s="526" t="b">
        <f t="shared" si="28"/>
        <v>1</v>
      </c>
      <c r="E53" s="526" t="str">
        <f t="shared" si="29"/>
        <v>City</v>
      </c>
      <c r="F53" s="617">
        <f t="shared" si="30"/>
        <v>12.9</v>
      </c>
      <c r="G53" s="531">
        <f>IF(D53,D29,'Typology Baseline - climate adj'!H53*$I$57+'Typology Baseline - climate adj'!I53)</f>
        <v>11.610000000000001</v>
      </c>
      <c r="H53" s="531">
        <f>IF(D53,C29,SUM('Typology Baseline - climate adj'!C53*$K$57*$K$58*G29,'Typology Baseline - climate adj'!$D53*H29,'Typology Baseline - climate adj'!$E53:$F53))</f>
        <v>1.2899999999999991</v>
      </c>
      <c r="I53" s="531">
        <f>'Typology Baseline - climate adj'!H48*$I$57/'Typology Baseline - climate adj'!G48*G53</f>
        <v>1.8493529057782672</v>
      </c>
      <c r="J53" s="531">
        <f t="shared" si="31"/>
        <v>9.7606470942217349</v>
      </c>
      <c r="K53" s="531">
        <f>IF(G29,'Typology Baseline - climate adj'!C53*$K$57*H53/SUM('Typology Baseline - climate adj'!C53*$K$57,'Typology Baseline - climate adj'!$D53:$F53),0)</f>
        <v>0.7567681996764497</v>
      </c>
      <c r="L53" s="531">
        <f>IF(H29,($H53-$K53)/SUM('Typology Baseline - climate adj'!$D53:$F53)*'Typology Baseline - climate adj'!D53,0)</f>
        <v>0.15619921423619124</v>
      </c>
      <c r="M53" s="531">
        <f>IF('Typology Baseline - climate adj'!E53=0,0,($H53-$K53-$L53)/SUM('Typology Baseline - climate adj'!$E53:$F53)*'Typology Baseline - climate adj'!E53)</f>
        <v>0</v>
      </c>
      <c r="N53" s="618">
        <f>IF('Typology Baseline - climate adj'!F53=0,0,($H53-$K53-$L53)/SUM('Typology Baseline - climate adj'!$E53:$F53)*'Typology Baseline - climate adj'!F53)</f>
        <v>0.37703258608735823</v>
      </c>
      <c r="O53" s="612"/>
      <c r="P53" s="526"/>
      <c r="Q53" s="525">
        <f t="shared" si="32"/>
        <v>0.52973773977351479</v>
      </c>
      <c r="R53" s="525">
        <f t="shared" si="33"/>
        <v>0.15619921423619124</v>
      </c>
      <c r="S53" s="525">
        <f t="shared" si="34"/>
        <v>0</v>
      </c>
      <c r="T53" s="525">
        <f t="shared" si="35"/>
        <v>0.37703258608735823</v>
      </c>
      <c r="U53" s="525"/>
      <c r="V53" s="525">
        <f t="shared" si="48"/>
        <v>1.0629695400970642</v>
      </c>
      <c r="W53" s="533">
        <f t="shared" si="37"/>
        <v>9.8685000000000009</v>
      </c>
      <c r="X53" s="533">
        <f t="shared" si="50"/>
        <v>10.931469540097066</v>
      </c>
      <c r="Y53" s="526"/>
      <c r="Z53" s="525">
        <f>SUMPRODUCT(Q53:T53,'Electrification of Gas End Uses'!$D$4:$G$4)</f>
        <v>0.56727667120337744</v>
      </c>
      <c r="AA53" s="533">
        <f t="shared" si="51"/>
        <v>9.8685000000000009</v>
      </c>
      <c r="AB53" s="533">
        <f t="shared" si="52"/>
        <v>10.435776671203378</v>
      </c>
      <c r="AD53" s="525">
        <f t="shared" si="49"/>
        <v>0.52973773977351479</v>
      </c>
      <c r="AE53" s="538">
        <f t="shared" si="53"/>
        <v>0.15619921423619124</v>
      </c>
      <c r="AF53" s="538">
        <f t="shared" si="53"/>
        <v>0</v>
      </c>
      <c r="AG53" s="538">
        <f t="shared" si="26"/>
        <v>0.37703258608735823</v>
      </c>
      <c r="AH53" s="538">
        <f t="shared" si="43"/>
        <v>8.2965500300884738</v>
      </c>
      <c r="AI53" s="539">
        <f t="shared" si="44"/>
        <v>1.2945470340447869</v>
      </c>
      <c r="AJ53" s="525">
        <f>SUMPRODUCT(AD53:AG53,'Electrification of Gas End Uses'!$D$4:$G$4)</f>
        <v>0.56727667120337744</v>
      </c>
      <c r="AK53" s="533">
        <f t="shared" si="54"/>
        <v>9.59109706413326</v>
      </c>
      <c r="AL53" s="533">
        <f t="shared" si="46"/>
        <v>10.158373735336637</v>
      </c>
      <c r="AN53" s="534">
        <f>SUMPRODUCT(K53:N53,'Electrification of Gas End Uses'!$D$5:$G$5)</f>
        <v>0.33253901611291026</v>
      </c>
      <c r="AO53" s="521">
        <f>SUMPRODUCT(K53:N53,'Electrification of Gas End Uses'!$D$6:$G$6)</f>
        <v>1.0398658646586318</v>
      </c>
      <c r="AP53" s="540">
        <f>(AH$57+IF(AH53&gt;(AH$60),AH53-AH$60,0))*(1+$AH$59)/'Electrification of Gas End Uses'!$D$12</f>
        <v>2.8709400120353892</v>
      </c>
      <c r="AQ53" s="541">
        <f t="shared" si="47"/>
        <v>0.17647058823529427</v>
      </c>
    </row>
    <row r="54" spans="1:43" ht="15" thickBot="1" x14ac:dyDescent="0.25">
      <c r="B54" s="367" t="str">
        <f>'Typology Baseline - climate adj'!A54</f>
        <v>Vacant</v>
      </c>
      <c r="C54" s="525">
        <f t="shared" si="27"/>
        <v>0</v>
      </c>
      <c r="D54" s="526" t="b">
        <f t="shared" si="28"/>
        <v>0</v>
      </c>
      <c r="E54" s="526" t="str">
        <f t="shared" si="29"/>
        <v>CBECS</v>
      </c>
      <c r="F54" s="619">
        <f t="shared" si="30"/>
        <v>25.173794904613644</v>
      </c>
      <c r="G54" s="620">
        <f>IF(D54,D30,'Typology Baseline - climate adj'!H54*$I$57+'Typology Baseline - climate adj'!I54)</f>
        <v>14.806024096385542</v>
      </c>
      <c r="H54" s="620">
        <f>IF(D54,C30,SUM('Typology Baseline - climate adj'!C54*$K$57*$K$58*G30,'Typology Baseline - climate adj'!$D54*H30,'Typology Baseline - climate adj'!$E54:$F54))</f>
        <v>10.367770808228103</v>
      </c>
      <c r="I54" s="620">
        <f>'Typology Baseline - climate adj'!H54*$I$57/'Typology Baseline - climate adj'!G54*G54</f>
        <v>2.32265634951905</v>
      </c>
      <c r="J54" s="620">
        <f t="shared" si="31"/>
        <v>12.483367746866492</v>
      </c>
      <c r="K54" s="620">
        <f>IF(G30,'Typology Baseline - climate adj'!C54*$K$57*H54/SUM('Typology Baseline - climate adj'!C54*$K$57,'Typology Baseline - climate adj'!$D54:$F54),0)</f>
        <v>9.3324672748697459</v>
      </c>
      <c r="L54" s="620">
        <f>IF(H30,($H54-$K54)/SUM('Typology Baseline - climate adj'!$D54:$F54)*'Typology Baseline - climate adj'!D54,0)</f>
        <v>1.0353035333583573</v>
      </c>
      <c r="M54" s="620">
        <f>IF('Typology Baseline - climate adj'!E54=0,0,($H54-$K54-$L54)/SUM('Typology Baseline - climate adj'!$E54:$F54)*'Typology Baseline - climate adj'!E54)</f>
        <v>0</v>
      </c>
      <c r="N54" s="621">
        <f>IF('Typology Baseline - climate adj'!F54=0,0,($H54-$K54-$L54)/SUM('Typology Baseline - climate adj'!$E54:$F54)*'Typology Baseline - climate adj'!F54)</f>
        <v>0</v>
      </c>
      <c r="O54" s="612"/>
      <c r="P54" s="526"/>
      <c r="Q54" s="525">
        <f t="shared" si="32"/>
        <v>6.5327270924088214</v>
      </c>
      <c r="R54" s="525">
        <f t="shared" si="33"/>
        <v>1.0353035333583573</v>
      </c>
      <c r="S54" s="525">
        <f t="shared" si="34"/>
        <v>0</v>
      </c>
      <c r="T54" s="525">
        <f t="shared" si="35"/>
        <v>0</v>
      </c>
      <c r="U54" s="525"/>
      <c r="V54" s="525">
        <f t="shared" si="48"/>
        <v>7.5680306257671788</v>
      </c>
      <c r="W54" s="533">
        <f t="shared" si="37"/>
        <v>12.58512048192771</v>
      </c>
      <c r="X54" s="533">
        <f t="shared" si="50"/>
        <v>20.153151107694889</v>
      </c>
      <c r="Y54" s="526"/>
      <c r="Z54" s="525">
        <f>SUMPRODUCT(Q54:T54,'Electrification of Gas End Uses'!$D$4:$G$4)</f>
        <v>2.5140059332174234</v>
      </c>
      <c r="AA54" s="533">
        <f t="shared" si="51"/>
        <v>12.58512048192771</v>
      </c>
      <c r="AB54" s="533">
        <f t="shared" si="52"/>
        <v>15.099126415145133</v>
      </c>
      <c r="AD54" s="525">
        <f t="shared" si="49"/>
        <v>6.5327270924088214</v>
      </c>
      <c r="AE54" s="538">
        <f t="shared" si="53"/>
        <v>1.0353035333583573</v>
      </c>
      <c r="AF54" s="538">
        <f t="shared" si="53"/>
        <v>0</v>
      </c>
      <c r="AG54" s="538">
        <f t="shared" si="26"/>
        <v>0</v>
      </c>
      <c r="AH54" s="538">
        <f t="shared" si="43"/>
        <v>10.610862584836518</v>
      </c>
      <c r="AI54" s="539">
        <f t="shared" si="44"/>
        <v>1.625859444663335</v>
      </c>
      <c r="AJ54" s="525">
        <f>SUMPRODUCT(AD54:AG54,'Electrification of Gas End Uses'!$D$4:$G$4)</f>
        <v>2.5140059332174234</v>
      </c>
      <c r="AK54" s="533">
        <f t="shared" si="54"/>
        <v>12.236722029499854</v>
      </c>
      <c r="AL54" s="533">
        <f t="shared" si="46"/>
        <v>14.750727962717278</v>
      </c>
      <c r="AN54" s="534">
        <f>SUMPRODUCT(K54:N54,'Electrification of Gas End Uses'!$D$5:$G$5)</f>
        <v>1.0334041418768976</v>
      </c>
      <c r="AO54" s="521">
        <f>SUMPRODUCT(K54:N54,'Electrification of Gas End Uses'!$D$6:$G$6)</f>
        <v>9.8421211946716411</v>
      </c>
      <c r="AP54" s="540">
        <f>(AH$57+IF(AH54&gt;(AH$60),AH54-AH$60,0))*(1+$AH$59)/'Electrification of Gas End Uses'!$D$12</f>
        <v>3.7966650339346066</v>
      </c>
      <c r="AQ54" s="541">
        <f t="shared" si="47"/>
        <v>0.17647058823529405</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1.0481927710843373</v>
      </c>
      <c r="J57" s="533"/>
      <c r="K57" s="535">
        <f>INDEX('Typology Baseline - climate adj'!$B$4:$B$8,MATCH(C3,'Typology Baseline - climate adj'!A4:A8,0))</f>
        <v>0.84132841328413277</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0.71060406111982932</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row r="65" spans="1:43" ht="14.25" x14ac:dyDescent="0.2">
      <c r="A65" s="138"/>
      <c r="B65" s="138"/>
      <c r="C65" s="138"/>
      <c r="D65" s="138"/>
      <c r="E65" s="138"/>
      <c r="F65" s="526"/>
      <c r="G65" s="526"/>
      <c r="H65" s="526"/>
      <c r="K65" s="138"/>
      <c r="L65" s="138"/>
      <c r="M65" s="138"/>
      <c r="N65" s="138"/>
      <c r="O65" s="138"/>
      <c r="P65" s="138"/>
      <c r="Q65" s="138"/>
      <c r="R65" s="138"/>
      <c r="S65" s="138"/>
      <c r="T65" s="138"/>
      <c r="U65" s="138"/>
      <c r="V65" s="138"/>
      <c r="W65" s="138"/>
      <c r="Z65" s="526"/>
      <c r="AA65" s="526"/>
      <c r="AB65" s="526"/>
      <c r="AC65" s="526"/>
      <c r="AD65" s="138"/>
      <c r="AE65" s="138"/>
      <c r="AJ65" s="138"/>
      <c r="AK65" s="526"/>
      <c r="AL65" s="526"/>
    </row>
    <row r="66" spans="1:43" ht="14.25" x14ac:dyDescent="0.2">
      <c r="A66" s="138"/>
      <c r="B66" s="138"/>
      <c r="C66" s="138"/>
      <c r="D66" s="138"/>
      <c r="E66" s="138"/>
      <c r="F66" s="536"/>
      <c r="G66" s="509"/>
      <c r="H66" s="512"/>
      <c r="I66" s="537"/>
      <c r="J66" s="537"/>
      <c r="K66" s="537"/>
      <c r="L66" s="537"/>
      <c r="M66" s="537"/>
      <c r="N66" s="537"/>
      <c r="O66" s="537"/>
      <c r="P66" s="537"/>
      <c r="Q66" s="537"/>
      <c r="R66" s="537"/>
      <c r="S66" s="138"/>
      <c r="T66" s="537"/>
      <c r="U66" s="537"/>
      <c r="V66" s="537"/>
      <c r="W66" s="138"/>
      <c r="Z66" s="529"/>
      <c r="AA66" s="529"/>
      <c r="AB66" s="529"/>
      <c r="AC66" s="529"/>
      <c r="AD66" s="537"/>
      <c r="AE66" s="537"/>
      <c r="AF66" s="537"/>
      <c r="AG66" s="537"/>
      <c r="AH66" s="537"/>
      <c r="AJ66" s="529"/>
      <c r="AK66" s="529"/>
      <c r="AL66" s="529"/>
      <c r="AO66" s="529"/>
    </row>
    <row r="67" spans="1:43" ht="14.25" x14ac:dyDescent="0.2">
      <c r="A67" s="526"/>
      <c r="C67" s="526"/>
      <c r="D67" s="530"/>
      <c r="E67" s="526"/>
      <c r="F67" s="506"/>
      <c r="G67" s="506"/>
      <c r="H67" s="506"/>
      <c r="I67" s="538"/>
      <c r="J67" s="538"/>
      <c r="K67" s="538"/>
      <c r="L67" s="538"/>
      <c r="M67" s="538"/>
      <c r="N67" s="538"/>
      <c r="O67" s="538"/>
      <c r="P67" s="538"/>
      <c r="Q67" s="538"/>
      <c r="R67" s="538"/>
      <c r="S67" s="138"/>
      <c r="T67" s="416"/>
      <c r="U67" s="416"/>
      <c r="V67" s="533"/>
      <c r="W67" s="138"/>
      <c r="Z67" s="525"/>
      <c r="AA67" s="533"/>
      <c r="AB67" s="533"/>
      <c r="AC67" s="533"/>
      <c r="AD67" s="525"/>
      <c r="AE67" s="538"/>
      <c r="AF67" s="538"/>
      <c r="AG67" s="538"/>
      <c r="AH67" s="539"/>
      <c r="AJ67" s="525"/>
      <c r="AK67" s="533"/>
      <c r="AL67" s="533"/>
      <c r="AN67" s="534"/>
      <c r="AO67" s="534"/>
      <c r="AP67" s="540"/>
      <c r="AQ67" s="541"/>
    </row>
    <row r="68" spans="1:43" ht="14.25" x14ac:dyDescent="0.2">
      <c r="A68" s="526"/>
      <c r="Q68" s="538"/>
      <c r="R68" s="538"/>
      <c r="S68" s="138"/>
      <c r="T68" s="416"/>
      <c r="U68" s="416"/>
      <c r="V68" s="533"/>
      <c r="W68" s="138"/>
      <c r="Z68" s="525"/>
      <c r="AA68" s="533"/>
      <c r="AB68" s="533"/>
      <c r="AC68" s="533"/>
      <c r="AD68" s="525"/>
      <c r="AE68" s="538"/>
      <c r="AF68" s="538"/>
      <c r="AG68" s="538"/>
      <c r="AH68" s="539"/>
      <c r="AJ68" s="525"/>
      <c r="AK68" s="533"/>
      <c r="AL68" s="533"/>
      <c r="AN68" s="534"/>
      <c r="AO68" s="534"/>
      <c r="AP68" s="540"/>
      <c r="AQ68" s="541"/>
    </row>
    <row r="69" spans="1:43" ht="14.25" x14ac:dyDescent="0.2">
      <c r="A69" s="526"/>
      <c r="Q69" s="538"/>
      <c r="R69" s="538"/>
      <c r="S69" s="138"/>
      <c r="T69" s="416"/>
      <c r="U69" s="416"/>
      <c r="V69" s="533"/>
      <c r="W69" s="138"/>
      <c r="Z69" s="525"/>
      <c r="AA69" s="533"/>
      <c r="AB69" s="533"/>
      <c r="AC69" s="533"/>
      <c r="AD69" s="525"/>
      <c r="AE69" s="538"/>
      <c r="AF69" s="538"/>
      <c r="AG69" s="538"/>
      <c r="AH69" s="539"/>
      <c r="AJ69" s="525"/>
      <c r="AK69" s="533"/>
      <c r="AL69" s="533"/>
      <c r="AN69" s="534"/>
      <c r="AO69" s="534"/>
      <c r="AP69" s="540"/>
      <c r="AQ69" s="541"/>
    </row>
    <row r="70" spans="1:43" ht="14.25" x14ac:dyDescent="0.2">
      <c r="A70" s="526"/>
      <c r="Q70" s="538"/>
      <c r="R70" s="538"/>
      <c r="T70" s="416"/>
      <c r="U70" s="416"/>
      <c r="V70" s="533"/>
      <c r="Z70" s="525"/>
      <c r="AA70" s="533"/>
      <c r="AB70" s="533"/>
      <c r="AC70" s="533"/>
      <c r="AD70" s="525"/>
      <c r="AE70" s="538"/>
      <c r="AF70" s="538"/>
      <c r="AG70" s="538"/>
      <c r="AH70" s="539"/>
      <c r="AJ70" s="525"/>
      <c r="AK70" s="533"/>
      <c r="AL70" s="533"/>
      <c r="AN70" s="534"/>
      <c r="AO70" s="534"/>
      <c r="AP70" s="540"/>
      <c r="AQ70" s="541"/>
    </row>
    <row r="71" spans="1:43" ht="14.25" x14ac:dyDescent="0.2">
      <c r="A71" s="526"/>
      <c r="C71" s="526"/>
      <c r="D71" s="530"/>
      <c r="E71" s="526"/>
      <c r="F71" s="506"/>
      <c r="G71" s="506"/>
      <c r="H71" s="506"/>
      <c r="I71" s="538"/>
      <c r="J71" s="538"/>
      <c r="K71" s="538"/>
      <c r="L71" s="538"/>
      <c r="M71" s="538"/>
      <c r="N71" s="538"/>
      <c r="O71" s="538"/>
      <c r="P71" s="538"/>
      <c r="Q71" s="538"/>
      <c r="R71" s="538"/>
      <c r="T71" s="416"/>
      <c r="U71" s="416"/>
      <c r="V71" s="533"/>
      <c r="Z71" s="525"/>
      <c r="AA71" s="533"/>
      <c r="AB71" s="533"/>
      <c r="AC71" s="533"/>
      <c r="AD71" s="525"/>
      <c r="AE71" s="538"/>
      <c r="AF71" s="538"/>
      <c r="AG71" s="538"/>
      <c r="AH71" s="539"/>
      <c r="AJ71" s="525"/>
      <c r="AK71" s="533"/>
      <c r="AL71" s="533"/>
      <c r="AN71" s="534"/>
      <c r="AO71" s="534"/>
      <c r="AP71" s="540"/>
      <c r="AQ71" s="541"/>
    </row>
    <row r="72" spans="1:43" ht="14.25" x14ac:dyDescent="0.2">
      <c r="A72" s="526"/>
      <c r="D72" s="530"/>
      <c r="E72" s="526"/>
      <c r="F72" s="416"/>
      <c r="G72" s="416"/>
      <c r="H72" s="416"/>
      <c r="I72" s="538"/>
      <c r="J72" s="538"/>
      <c r="K72" s="538"/>
      <c r="L72" s="538"/>
      <c r="M72" s="538"/>
      <c r="N72" s="538"/>
    </row>
  </sheetData>
  <mergeCells count="6">
    <mergeCell ref="N10:P10"/>
    <mergeCell ref="Q10:S10"/>
    <mergeCell ref="T10:V10"/>
    <mergeCell ref="I34:J34"/>
    <mergeCell ref="K34:N34"/>
    <mergeCell ref="K10:M10"/>
  </mergeCells>
  <conditionalFormatting sqref="Z15:AB30">
    <cfRule type="dataBar" priority="3">
      <dataBar>
        <cfvo type="min"/>
        <cfvo type="max"/>
        <color rgb="FF63C384"/>
      </dataBar>
      <extLst>
        <ext xmlns:x14="http://schemas.microsoft.com/office/spreadsheetml/2009/9/main" uri="{B025F937-C7B1-47D3-B67F-A62EFF666E3E}">
          <x14:id>{41658431-4C20-4A92-90E2-F933869FD034}</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{9CEB74D6-41BB-4049-B959-1F9145DAF4A0}</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{BB1A98F4-F3EE-45CB-9DB4-B37C020D3CF5}</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{4DC23AC0-973F-404C-9669-8B07E0E75AB6}</x14:id>
        </ext>
      </extLst>
    </cfRule>
  </conditionalFormatting>
  <dataValidations count="6">
    <dataValidation allowBlank="1" showErrorMessage="1" sqref="C12:D30" xr:uid="{A6C63CDA-822A-438E-A27A-A1ADB5A94B2F}"/>
    <dataValidation allowBlank="1" showErrorMessage="1" prompt="If energy data is available for these typologies, enter it here. For any typologies where energy data is not available, CBECS data will be used for baseline information. " sqref="F12:F30" xr:uid="{59F4429C-D25C-4EDE-8C58-948F5E0CC42D}"/>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AAB98AA8-5271-4591-A234-B8C761A4D219}">
      <formula1>-1</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49E81F58-0A5A-4677-BCF1-4D699442E773}">
      <formula1>-1</formula1>
      <formula2>1</formula2>
    </dataValidation>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AA00FF1C-832F-4255-9768-0407661E409C}">
      <formula1>0</formula1>
      <formula2>1</formula2>
    </dataValidation>
    <dataValidation allowBlank="1" showInputMessage="1" showErrorMessage="1" prompt="source (page 7, figure 1): https://portfoliomanager.energystar.gov/pdf/reference/Emissions.pdf" sqref="Z3" xr:uid="{A9D7E42A-8300-469B-96A1-E294F686E271}"/>
  </dataValidations>
  <pageMargins left="0.25" right="0.25" top="0.75" bottom="0.75" header="0.3" footer="0.3"/>
  <pageSetup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41658431-4C20-4A92-90E2-F933869FD034}">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9CEB74D6-41BB-4049-B959-1F9145DAF4A0}">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BB1A98F4-F3EE-45CB-9DB4-B37C020D3CF5}">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4DC23AC0-973F-404C-9669-8B07E0E75AB6}">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xr:uid="{8F92BBA2-A62A-4ACD-A116-745111212FDC}">
          <x14:formula1>
            <xm:f>'Typology Baseline - climate adj'!$A$56:$A$57</xm:f>
          </x14:formula1>
          <xm:sqref>G12:H30</xm:sqref>
        </x14:dataValidation>
        <x14:dataValidation type="list" allowBlank="1" showInputMessage="1" showErrorMessage="1" xr:uid="{DB90BC40-30B2-4825-A5ED-4C10EA323476}">
          <x14:formula1>
            <xm:f>'Typology Baseline - climate adj'!$A$4:$A$8</xm:f>
          </x14:formula1>
          <xm:sqref>C3</xm:sqref>
        </x14:dataValidation>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9F6B83B7-8404-418E-AE43-43E78E7087B7}">
          <x14:formula1>
            <xm:f>'GHG Coefficient Lookup'!$AD$3:$AD$6</xm:f>
          </x14:formula1>
          <xm:sqref>C4</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287469FC-4353-44C9-9835-FE3D53B0D7B8}">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DC!AK12:AN12</xm:f>
              <xm:sqref>W12</xm:sqref>
            </x14:sparkline>
            <x14:sparkline>
              <xm:f>DC!AK13:AN13</xm:f>
              <xm:sqref>W13</xm:sqref>
            </x14:sparkline>
            <x14:sparkline>
              <xm:f>DC!AK14:AN14</xm:f>
              <xm:sqref>W14</xm:sqref>
            </x14:sparkline>
            <x14:sparkline>
              <xm:f>DC!AK15:AN15</xm:f>
              <xm:sqref>W15</xm:sqref>
            </x14:sparkline>
            <x14:sparkline>
              <xm:f>DC!AK16:AN16</xm:f>
              <xm:sqref>W16</xm:sqref>
            </x14:sparkline>
            <x14:sparkline>
              <xm:f>DC!AK17:AN17</xm:f>
              <xm:sqref>W17</xm:sqref>
            </x14:sparkline>
            <x14:sparkline>
              <xm:f>DC!AK18:AN18</xm:f>
              <xm:sqref>W18</xm:sqref>
            </x14:sparkline>
            <x14:sparkline>
              <xm:f>DC!AK19:AN19</xm:f>
              <xm:sqref>W19</xm:sqref>
            </x14:sparkline>
            <x14:sparkline>
              <xm:f>DC!AK20:AN20</xm:f>
              <xm:sqref>W20</xm:sqref>
            </x14:sparkline>
            <x14:sparkline>
              <xm:f>DC!AK21:AN21</xm:f>
              <xm:sqref>W21</xm:sqref>
            </x14:sparkline>
            <x14:sparkline>
              <xm:f>DC!AK22:AN22</xm:f>
              <xm:sqref>W22</xm:sqref>
            </x14:sparkline>
            <x14:sparkline>
              <xm:f>DC!AK23:AN23</xm:f>
              <xm:sqref>W23</xm:sqref>
            </x14:sparkline>
            <x14:sparkline>
              <xm:f>DC!AK24:AN24</xm:f>
              <xm:sqref>W24</xm:sqref>
            </x14:sparkline>
            <x14:sparkline>
              <xm:f>DC!AK25:AN25</xm:f>
              <xm:sqref>W25</xm:sqref>
            </x14:sparkline>
            <x14:sparkline>
              <xm:f>DC!AK26:AN26</xm:f>
              <xm:sqref>W26</xm:sqref>
            </x14:sparkline>
            <x14:sparkline>
              <xm:f>DC!AK27:AN27</xm:f>
              <xm:sqref>W27</xm:sqref>
            </x14:sparkline>
            <x14:sparkline>
              <xm:f>DC!AK28:AN28</xm:f>
              <xm:sqref>W28</xm:sqref>
            </x14:sparkline>
            <x14:sparkline>
              <xm:f>DC!AK29:AN29</xm:f>
              <xm:sqref>W29</xm:sqref>
            </x14:sparkline>
            <x14:sparkline>
              <xm:f>DC!AK30:AN30</xm:f>
              <xm:sqref>W30</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DF4B7-F98E-4842-AD7C-3305BD600686}">
  <sheetPr>
    <tabColor theme="4" tint="0.79998168889431442"/>
  </sheetPr>
  <dimension ref="A1:AQ70"/>
  <sheetViews>
    <sheetView topLeftCell="A7" zoomScale="55" zoomScaleNormal="55" workbookViewId="0">
      <selection activeCell="K30" sqref="K12:V30"/>
    </sheetView>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8" width="12.28515625" style="495" customWidth="1"/>
    <col min="19" max="19" width="9.140625" style="495"/>
    <col min="20" max="20" width="12.28515625" style="495" customWidth="1"/>
    <col min="21" max="21" width="11" style="495" bestFit="1" customWidth="1"/>
    <col min="22" max="22" width="17.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1524</v>
      </c>
      <c r="G2" s="128" t="s">
        <v>1550</v>
      </c>
      <c r="H2" s="128"/>
      <c r="J2" s="525"/>
      <c r="K2" s="525"/>
      <c r="Y2" s="371" t="s">
        <v>448</v>
      </c>
      <c r="Z2" s="610" t="s">
        <v>449</v>
      </c>
    </row>
    <row r="3" spans="2:40" ht="25.5" x14ac:dyDescent="0.25">
      <c r="B3" s="353" t="s">
        <v>450</v>
      </c>
      <c r="C3" s="352" t="s">
        <v>129</v>
      </c>
      <c r="D3" s="577" t="s">
        <v>451</v>
      </c>
      <c r="F3" s="615" t="s">
        <v>221</v>
      </c>
      <c r="G3" s="501">
        <v>0.3</v>
      </c>
      <c r="H3" s="263"/>
      <c r="Y3" s="610" t="s">
        <v>452</v>
      </c>
      <c r="Z3" s="495">
        <f>53.11/1000</f>
        <v>5.3109999999999997E-2</v>
      </c>
      <c r="AA3" s="138"/>
    </row>
    <row r="4" spans="2:40" ht="51" x14ac:dyDescent="0.25">
      <c r="B4" s="497" t="s">
        <v>453</v>
      </c>
      <c r="C4" s="396" t="str">
        <f>INDEX('Typology Baseline - climate adj'!$D4:$D$8,MATCH($C$3,'Typology Baseline - climate adj'!$A$4:$A$8,0))</f>
        <v>Santa Mon</v>
      </c>
      <c r="F4" s="616" t="s">
        <v>510</v>
      </c>
      <c r="G4" s="501">
        <v>0.3</v>
      </c>
      <c r="H4" s="263"/>
      <c r="Y4" s="498" t="s">
        <v>454</v>
      </c>
      <c r="Z4" s="499">
        <f>INDEX(Readme!$K$30:$K$33,MATCH(C4,Readme!$D$30:$D$33,0))</f>
        <v>7.0431556757130351E-2</v>
      </c>
      <c r="AA4" s="500" t="s">
        <v>455</v>
      </c>
    </row>
    <row r="5" spans="2:40" ht="25.5" x14ac:dyDescent="0.25">
      <c r="B5" s="622"/>
      <c r="F5" s="616" t="s">
        <v>511</v>
      </c>
      <c r="G5" s="501">
        <v>0</v>
      </c>
      <c r="H5" s="263"/>
      <c r="Y5" s="498" t="s">
        <v>456</v>
      </c>
      <c r="Z5" s="499">
        <f>IF(Z4/2&lt;Z6,Z6,Z4/2)</f>
        <v>3.5215778378565175E-2</v>
      </c>
      <c r="AA5" s="224" t="str">
        <f>TEXT((Z4-Z5)/Z4,"##%")&amp;" lower than today"</f>
        <v>50% lower than today</v>
      </c>
    </row>
    <row r="6" spans="2:40" ht="38.25" x14ac:dyDescent="0.25">
      <c r="B6" s="622"/>
      <c r="F6" s="616" t="s">
        <v>512</v>
      </c>
      <c r="G6" s="501">
        <v>0</v>
      </c>
      <c r="H6" s="263"/>
      <c r="Y6" s="498" t="s">
        <v>457</v>
      </c>
      <c r="Z6" s="499">
        <f>Readme!L32</f>
        <v>2.6955815986857323E-3</v>
      </c>
      <c r="AA6" s="557" t="s">
        <v>1501</v>
      </c>
    </row>
    <row r="7" spans="2:40" ht="15" x14ac:dyDescent="0.25">
      <c r="B7" s="623" t="s">
        <v>1551</v>
      </c>
      <c r="C7" s="501">
        <v>0</v>
      </c>
      <c r="F7" s="616" t="s">
        <v>173</v>
      </c>
      <c r="G7" s="501">
        <v>0</v>
      </c>
      <c r="H7" s="263"/>
    </row>
    <row r="8" spans="2:40" ht="14.25" x14ac:dyDescent="0.2">
      <c r="B8" s="138"/>
      <c r="C8" s="138"/>
      <c r="D8" s="138"/>
    </row>
    <row r="9" spans="2:40" ht="18" x14ac:dyDescent="0.25">
      <c r="B9" s="576" t="s">
        <v>458</v>
      </c>
      <c r="C9" s="502" t="s">
        <v>459</v>
      </c>
      <c r="D9" s="502" t="s">
        <v>459</v>
      </c>
      <c r="E9" s="502" t="s">
        <v>460</v>
      </c>
      <c r="F9" s="502" t="s">
        <v>460</v>
      </c>
      <c r="G9" s="502" t="s">
        <v>461</v>
      </c>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Santa Monica</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Santa Monica: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510" t="s">
        <v>478</v>
      </c>
      <c r="AC11" s="511" t="s">
        <v>479</v>
      </c>
      <c r="AD11" s="512" t="s">
        <v>480</v>
      </c>
      <c r="AE11" s="510" t="s">
        <v>481</v>
      </c>
      <c r="AF11" s="513" t="s">
        <v>482</v>
      </c>
      <c r="AG11" s="558" t="s">
        <v>1502</v>
      </c>
      <c r="AI11" s="506"/>
      <c r="AJ11" s="506"/>
      <c r="AK11" s="506"/>
      <c r="AL11" s="506"/>
      <c r="AM11" s="506"/>
      <c r="AN11" s="506"/>
    </row>
    <row r="12" spans="2:40" ht="15" x14ac:dyDescent="0.25">
      <c r="B12" s="367" t="s">
        <v>442</v>
      </c>
      <c r="C12" s="587"/>
      <c r="D12" s="587"/>
      <c r="E12" s="588"/>
      <c r="F12" s="588">
        <v>571840</v>
      </c>
      <c r="G12" s="587" t="b">
        <v>1</v>
      </c>
      <c r="H12" s="587" t="b">
        <v>1</v>
      </c>
      <c r="J12" s="138" t="str">
        <f>B36</f>
        <v>MF-New-Tall</v>
      </c>
      <c r="K12" s="514">
        <f>H36</f>
        <v>29.120413926532812</v>
      </c>
      <c r="L12" s="515">
        <f>G36</f>
        <v>16.273285449490267</v>
      </c>
      <c r="M12" s="268">
        <f>F36</f>
        <v>45.393699376023079</v>
      </c>
      <c r="N12" s="514">
        <f t="shared" ref="N12:O14" si="0">V36</f>
        <v>26.430082684064381</v>
      </c>
      <c r="O12" s="515">
        <f t="shared" si="0"/>
        <v>11.391299814643187</v>
      </c>
      <c r="P12" s="268">
        <f t="shared" ref="P12:P14" si="1">X36</f>
        <v>37.821382498707564</v>
      </c>
      <c r="Q12" s="514">
        <v>0</v>
      </c>
      <c r="R12" s="515">
        <f t="shared" ref="R12:R30" si="2">Z36+AA36</f>
        <v>22.12172625232267</v>
      </c>
      <c r="S12" s="268">
        <f t="shared" ref="S12:S30" si="3">AB36</f>
        <v>22.12172625232267</v>
      </c>
      <c r="T12" s="514">
        <v>0</v>
      </c>
      <c r="U12" s="515">
        <f t="shared" ref="U12:U30" si="4">AJ36+AK36</f>
        <v>22.12172625232267</v>
      </c>
      <c r="V12" s="268">
        <f>U12+T12</f>
        <v>22.12172625232267</v>
      </c>
      <c r="W12" s="263"/>
      <c r="Y12" s="516" t="str">
        <f t="shared" ref="Y12:Y30" si="5">J12</f>
        <v>MF-New-Tall</v>
      </c>
      <c r="Z12" s="517">
        <f t="shared" ref="Z12:Z30" si="6">K12*$Z$3+L12*$Z$4</f>
        <v>2.692738011398915</v>
      </c>
      <c r="AA12" s="518">
        <f t="shared" ref="AA12:AA30" si="7">N12*$Z$3+O12*$Z$5</f>
        <v>1.8048551810669242</v>
      </c>
      <c r="AB12" s="519">
        <f t="shared" ref="AB12:AB30" si="8">Q12*$Z$3+R12*$Z$6</f>
        <v>5.9630918216924081E-2</v>
      </c>
      <c r="AC12" s="520">
        <f t="shared" ref="AC12:AD27" si="9">AN36</f>
        <v>4.5419589953840038</v>
      </c>
      <c r="AD12" s="521">
        <f t="shared" si="9"/>
        <v>15.040182446706559</v>
      </c>
      <c r="AE12" s="522">
        <f t="shared" ref="AE12:AE14" si="10">AD12/AC12-1</f>
        <v>2.311386664210731</v>
      </c>
      <c r="AF12" s="523">
        <f t="shared" ref="AF12:AF14" si="11">(AD12-AC12)/(Z12-AB12)</f>
        <v>3.9870096732890294</v>
      </c>
      <c r="AG12" s="523">
        <f t="shared" ref="AG12:AG30" si="12">(AD12-AC12)/(N12)</f>
        <v>0.39720736317076683</v>
      </c>
      <c r="AI12" s="506"/>
      <c r="AJ12" s="524"/>
      <c r="AK12" s="524">
        <f>M12</f>
        <v>45.393699376023079</v>
      </c>
      <c r="AL12" s="524">
        <f>P12</f>
        <v>37.821382498707564</v>
      </c>
      <c r="AM12" s="524">
        <f>S12</f>
        <v>22.12172625232267</v>
      </c>
      <c r="AN12" s="524">
        <f>V12</f>
        <v>22.12172625232267</v>
      </c>
    </row>
    <row r="13" spans="2:40" ht="15" x14ac:dyDescent="0.25">
      <c r="B13" s="367" t="s">
        <v>440</v>
      </c>
      <c r="C13" s="587"/>
      <c r="D13" s="587"/>
      <c r="E13" s="588"/>
      <c r="F13" s="588">
        <v>309734</v>
      </c>
      <c r="G13" s="587" t="b">
        <v>1</v>
      </c>
      <c r="H13" s="587" t="b">
        <v>1</v>
      </c>
      <c r="J13" s="138" t="str">
        <f>B37</f>
        <v>MF-Old-Tall</v>
      </c>
      <c r="K13" s="514">
        <f>H37</f>
        <v>31.410144069404659</v>
      </c>
      <c r="L13" s="515">
        <f>G37</f>
        <v>14.414323962516733</v>
      </c>
      <c r="M13" s="268">
        <f>F37</f>
        <v>45.824468031921391</v>
      </c>
      <c r="N13" s="514">
        <f t="shared" si="0"/>
        <v>28.032893784074673</v>
      </c>
      <c r="O13" s="515">
        <f t="shared" si="0"/>
        <v>10.090026773761712</v>
      </c>
      <c r="P13" s="268">
        <f t="shared" si="1"/>
        <v>38.122920557836387</v>
      </c>
      <c r="Q13" s="514">
        <v>0</v>
      </c>
      <c r="R13" s="515">
        <f t="shared" si="2"/>
        <v>21.333352763444488</v>
      </c>
      <c r="S13" s="268">
        <f t="shared" si="3"/>
        <v>21.333352763444488</v>
      </c>
      <c r="T13" s="514">
        <v>0</v>
      </c>
      <c r="U13" s="515">
        <f t="shared" si="4"/>
        <v>21.333352763444488</v>
      </c>
      <c r="V13" s="268">
        <f t="shared" ref="V13:V30" si="13">U13+T13</f>
        <v>21.333352763444488</v>
      </c>
      <c r="W13" s="263"/>
      <c r="Y13" s="516" t="str">
        <f t="shared" si="5"/>
        <v>MF-Old-Tall</v>
      </c>
      <c r="Z13" s="517">
        <f t="shared" si="6"/>
        <v>2.6834160278077426</v>
      </c>
      <c r="AA13" s="518">
        <f t="shared" si="7"/>
        <v>1.8441551355707873</v>
      </c>
      <c r="AB13" s="519">
        <f t="shared" si="8"/>
        <v>5.750579314741238E-2</v>
      </c>
      <c r="AC13" s="520">
        <f t="shared" si="9"/>
        <v>4.7691451522575763</v>
      </c>
      <c r="AD13" s="521">
        <f t="shared" si="9"/>
        <v>17.396520241947616</v>
      </c>
      <c r="AE13" s="522">
        <f t="shared" si="10"/>
        <v>2.6477229538112512</v>
      </c>
      <c r="AF13" s="523">
        <f t="shared" si="11"/>
        <v>4.8087611385251456</v>
      </c>
      <c r="AG13" s="523">
        <f t="shared" si="12"/>
        <v>0.45044850477989468</v>
      </c>
      <c r="AI13" s="506"/>
      <c r="AJ13" s="524"/>
      <c r="AK13" s="524">
        <f t="shared" ref="AK13:AK30" si="14">M13</f>
        <v>45.824468031921391</v>
      </c>
      <c r="AL13" s="524">
        <f t="shared" ref="AL13:AL30" si="15">P13</f>
        <v>38.122920557836387</v>
      </c>
      <c r="AM13" s="524">
        <f t="shared" ref="AM13:AM30" si="16">S13</f>
        <v>21.333352763444488</v>
      </c>
      <c r="AN13" s="524">
        <f t="shared" ref="AN13:AN30" si="17">V13</f>
        <v>21.333352763444488</v>
      </c>
    </row>
    <row r="14" spans="2:40" ht="15" x14ac:dyDescent="0.25">
      <c r="B14" s="367" t="s">
        <v>444</v>
      </c>
      <c r="C14" s="587"/>
      <c r="D14" s="587"/>
      <c r="E14" s="588"/>
      <c r="F14" s="588">
        <v>357213</v>
      </c>
      <c r="G14" s="587" t="b">
        <v>1</v>
      </c>
      <c r="H14" s="587" t="b">
        <v>1</v>
      </c>
      <c r="J14" s="138" t="str">
        <f>B38</f>
        <v>MF-Short</v>
      </c>
      <c r="K14" s="514">
        <f>H38</f>
        <v>26.114439862238854</v>
      </c>
      <c r="L14" s="515">
        <f>G38</f>
        <v>16.389716949982869</v>
      </c>
      <c r="M14" s="268">
        <f>F38</f>
        <v>42.504156812221723</v>
      </c>
      <c r="N14" s="514">
        <f t="shared" si="0"/>
        <v>23.526383494824767</v>
      </c>
      <c r="O14" s="515">
        <f t="shared" si="0"/>
        <v>11.472801864988007</v>
      </c>
      <c r="P14" s="268">
        <f t="shared" si="1"/>
        <v>34.99918535981277</v>
      </c>
      <c r="Q14" s="514">
        <v>0</v>
      </c>
      <c r="R14" s="515">
        <f t="shared" si="2"/>
        <v>21.036612138671671</v>
      </c>
      <c r="S14" s="268">
        <f t="shared" si="3"/>
        <v>21.036612138671671</v>
      </c>
      <c r="T14" s="514">
        <v>0</v>
      </c>
      <c r="U14" s="515">
        <f t="shared" si="4"/>
        <v>21.036612138671675</v>
      </c>
      <c r="V14" s="268">
        <f t="shared" si="13"/>
        <v>21.036612138671675</v>
      </c>
      <c r="W14" s="263"/>
      <c r="Y14" s="516" t="str">
        <f t="shared" si="5"/>
        <v>MF-Short</v>
      </c>
      <c r="Z14" s="517">
        <f t="shared" si="6"/>
        <v>2.5412911806795253</v>
      </c>
      <c r="AA14" s="518">
        <f t="shared" si="7"/>
        <v>1.65350987526875</v>
      </c>
      <c r="AB14" s="519">
        <f t="shared" si="8"/>
        <v>5.6705904579692268E-2</v>
      </c>
      <c r="AC14" s="520">
        <f t="shared" si="9"/>
        <v>4.2315627868509633</v>
      </c>
      <c r="AD14" s="521">
        <f t="shared" si="9"/>
        <v>14.076243976126726</v>
      </c>
      <c r="AE14" s="522">
        <f t="shared" si="10"/>
        <v>2.3264882704486491</v>
      </c>
      <c r="AF14" s="523">
        <f t="shared" si="11"/>
        <v>3.9623036021244595</v>
      </c>
      <c r="AG14" s="523">
        <f t="shared" si="12"/>
        <v>0.41845280603546031</v>
      </c>
      <c r="AI14" s="506"/>
      <c r="AJ14" s="524"/>
      <c r="AK14" s="524">
        <f t="shared" si="14"/>
        <v>42.504156812221723</v>
      </c>
      <c r="AL14" s="524">
        <f t="shared" si="15"/>
        <v>34.99918535981277</v>
      </c>
      <c r="AM14" s="524">
        <f t="shared" si="16"/>
        <v>21.036612138671671</v>
      </c>
      <c r="AN14" s="524">
        <f t="shared" si="17"/>
        <v>21.036612138671675</v>
      </c>
    </row>
    <row r="15" spans="2:40" ht="15" x14ac:dyDescent="0.25">
      <c r="B15" s="367" t="s">
        <v>111</v>
      </c>
      <c r="C15" s="587"/>
      <c r="D15" s="587"/>
      <c r="E15" s="588"/>
      <c r="F15" s="588">
        <v>1145724</v>
      </c>
      <c r="G15" s="587" t="b">
        <v>1</v>
      </c>
      <c r="H15" s="587" t="b">
        <v>1</v>
      </c>
      <c r="J15" s="138" t="str">
        <f t="shared" ref="J15:J30" si="18">B39</f>
        <v>Education</v>
      </c>
      <c r="K15" s="514">
        <f t="shared" ref="K15:K30" si="19">H39</f>
        <v>28.082256033125162</v>
      </c>
      <c r="L15" s="515">
        <f t="shared" ref="L15:L30" si="20">G39</f>
        <v>33.387951807228916</v>
      </c>
      <c r="M15" s="268">
        <f t="shared" ref="M15:M30" si="21">F39</f>
        <v>61.470207840354078</v>
      </c>
      <c r="N15" s="514">
        <f t="shared" ref="N15:P30" si="22">V39</f>
        <v>23.930689881522934</v>
      </c>
      <c r="O15" s="515">
        <f t="shared" si="22"/>
        <v>23.371566265060238</v>
      </c>
      <c r="P15" s="268">
        <f t="shared" si="22"/>
        <v>47.302256146583176</v>
      </c>
      <c r="Q15" s="514">
        <v>0</v>
      </c>
      <c r="R15" s="515">
        <f t="shared" si="2"/>
        <v>35.293573790914095</v>
      </c>
      <c r="S15" s="268">
        <f t="shared" si="3"/>
        <v>35.293573790914095</v>
      </c>
      <c r="T15" s="514">
        <v>0</v>
      </c>
      <c r="U15" s="515">
        <f t="shared" si="4"/>
        <v>37.167334037751814</v>
      </c>
      <c r="V15" s="268">
        <f t="shared" si="13"/>
        <v>37.167334037751814</v>
      </c>
      <c r="W15" s="263"/>
      <c r="Y15" s="516" t="str">
        <f t="shared" si="5"/>
        <v>Education</v>
      </c>
      <c r="Z15" s="517">
        <f t="shared" si="6"/>
        <v>3.8430140406344533</v>
      </c>
      <c r="AA15" s="518">
        <f t="shared" si="7"/>
        <v>2.0940068375579948</v>
      </c>
      <c r="AB15" s="519">
        <f t="shared" si="8"/>
        <v>9.5136708062645084E-2</v>
      </c>
      <c r="AC15" s="520">
        <f t="shared" si="9"/>
        <v>6.985519748179982</v>
      </c>
      <c r="AD15" s="521">
        <f t="shared" si="9"/>
        <v>20.428635527348749</v>
      </c>
      <c r="AE15" s="522">
        <f>AD15/AC15-1</f>
        <v>1.9244259931655416</v>
      </c>
      <c r="AF15" s="523">
        <f>(AD15-AC15)/(Z15-AB15)</f>
        <v>3.5868611980275373</v>
      </c>
      <c r="AG15" s="523">
        <f t="shared" si="12"/>
        <v>0.56175212021565235</v>
      </c>
      <c r="AI15" s="506"/>
      <c r="AJ15" s="524"/>
      <c r="AK15" s="524">
        <f t="shared" si="14"/>
        <v>61.470207840354078</v>
      </c>
      <c r="AL15" s="524">
        <f t="shared" si="15"/>
        <v>47.302256146583176</v>
      </c>
      <c r="AM15" s="524">
        <f t="shared" si="16"/>
        <v>35.293573790914095</v>
      </c>
      <c r="AN15" s="524">
        <f t="shared" si="17"/>
        <v>37.167334037751814</v>
      </c>
    </row>
    <row r="16" spans="2:40" ht="15" x14ac:dyDescent="0.25">
      <c r="B16" s="367" t="s">
        <v>393</v>
      </c>
      <c r="C16" s="587"/>
      <c r="D16" s="587"/>
      <c r="E16" s="588"/>
      <c r="F16" s="588">
        <v>0</v>
      </c>
      <c r="G16" s="587" t="b">
        <v>1</v>
      </c>
      <c r="H16" s="587" t="b">
        <v>1</v>
      </c>
      <c r="J16" s="138" t="str">
        <f t="shared" si="18"/>
        <v>Food sales</v>
      </c>
      <c r="K16" s="514">
        <f t="shared" si="19"/>
        <v>59.388827199787251</v>
      </c>
      <c r="L16" s="515">
        <f t="shared" si="20"/>
        <v>148.56144578313251</v>
      </c>
      <c r="M16" s="268">
        <f t="shared" si="21"/>
        <v>207.95027298291976</v>
      </c>
      <c r="N16" s="514">
        <f t="shared" si="22"/>
        <v>52.639055614420606</v>
      </c>
      <c r="O16" s="515">
        <f t="shared" si="22"/>
        <v>103.99301204819275</v>
      </c>
      <c r="P16" s="268">
        <f t="shared" si="22"/>
        <v>156.63206766261337</v>
      </c>
      <c r="Q16" s="514">
        <v>0</v>
      </c>
      <c r="R16" s="515">
        <f t="shared" si="2"/>
        <v>130.63290363013178</v>
      </c>
      <c r="S16" s="268">
        <f t="shared" si="3"/>
        <v>130.63290363013178</v>
      </c>
      <c r="T16" s="514">
        <v>0</v>
      </c>
      <c r="U16" s="515">
        <f t="shared" si="4"/>
        <v>128.76107417972469</v>
      </c>
      <c r="V16" s="268">
        <f t="shared" si="13"/>
        <v>128.76107417972469</v>
      </c>
      <c r="W16" s="263"/>
      <c r="Y16" s="516" t="str">
        <f t="shared" si="5"/>
        <v>Food sales</v>
      </c>
      <c r="Z16" s="517">
        <f t="shared" si="6"/>
        <v>13.617554513176742</v>
      </c>
      <c r="AA16" s="518">
        <f t="shared" si="7"/>
        <v>6.4578551088904916</v>
      </c>
      <c r="AB16" s="519">
        <f t="shared" si="8"/>
        <v>0.35213165120826984</v>
      </c>
      <c r="AC16" s="520">
        <f t="shared" si="9"/>
        <v>27.34144724426854</v>
      </c>
      <c r="AD16" s="521">
        <f t="shared" si="9"/>
        <v>47.665753545023115</v>
      </c>
      <c r="AE16" s="522">
        <f>AD16/AC16-1</f>
        <v>0.7433515175395502</v>
      </c>
      <c r="AF16" s="523">
        <f>(AD16-AC16)/(Z16-AB16)</f>
        <v>1.5321265301706806</v>
      </c>
      <c r="AG16" s="523">
        <f t="shared" si="12"/>
        <v>0.38610697064228255</v>
      </c>
      <c r="AI16" s="506"/>
      <c r="AJ16" s="524"/>
      <c r="AK16" s="524">
        <f t="shared" si="14"/>
        <v>207.95027298291976</v>
      </c>
      <c r="AL16" s="524">
        <f t="shared" si="15"/>
        <v>156.63206766261337</v>
      </c>
      <c r="AM16" s="524">
        <f t="shared" si="16"/>
        <v>130.63290363013178</v>
      </c>
      <c r="AN16" s="524">
        <f t="shared" si="17"/>
        <v>128.76107417972469</v>
      </c>
    </row>
    <row r="17" spans="2:40" ht="15" x14ac:dyDescent="0.25">
      <c r="B17" s="367" t="s">
        <v>403</v>
      </c>
      <c r="C17" s="587"/>
      <c r="D17" s="587"/>
      <c r="E17" s="588"/>
      <c r="F17" s="588">
        <v>2715789</v>
      </c>
      <c r="G17" s="587" t="b">
        <v>1</v>
      </c>
      <c r="H17" s="587" t="b">
        <v>1</v>
      </c>
      <c r="J17" s="138" t="str">
        <f t="shared" si="18"/>
        <v>Food service</v>
      </c>
      <c r="K17" s="514">
        <f t="shared" si="19"/>
        <v>177.12309757027174</v>
      </c>
      <c r="L17" s="515">
        <f t="shared" si="20"/>
        <v>88.231325301204805</v>
      </c>
      <c r="M17" s="268">
        <f t="shared" si="21"/>
        <v>265.35442287147657</v>
      </c>
      <c r="N17" s="514">
        <f t="shared" si="22"/>
        <v>171.7902625489383</v>
      </c>
      <c r="O17" s="515">
        <f t="shared" si="22"/>
        <v>61.761927710843359</v>
      </c>
      <c r="P17" s="268">
        <f t="shared" si="22"/>
        <v>233.55219025978167</v>
      </c>
      <c r="Q17" s="514">
        <v>0</v>
      </c>
      <c r="R17" s="515">
        <f t="shared" si="2"/>
        <v>154.99123538109643</v>
      </c>
      <c r="S17" s="268">
        <f t="shared" si="3"/>
        <v>154.99123538109643</v>
      </c>
      <c r="T17" s="514">
        <v>0</v>
      </c>
      <c r="U17" s="515">
        <f t="shared" si="4"/>
        <v>154.17738523183414</v>
      </c>
      <c r="V17" s="268">
        <f t="shared" si="13"/>
        <v>154.17738523183414</v>
      </c>
      <c r="W17" s="263"/>
      <c r="Y17" s="516" t="str">
        <f t="shared" si="5"/>
        <v>Food service</v>
      </c>
      <c r="Z17" s="517">
        <f t="shared" si="6"/>
        <v>15.621277307665769</v>
      </c>
      <c r="AA17" s="518">
        <f t="shared" si="7"/>
        <v>11.298775202472136</v>
      </c>
      <c r="AB17" s="519">
        <f t="shared" si="8"/>
        <v>0.41779152205085257</v>
      </c>
      <c r="AC17" s="520">
        <f t="shared" si="9"/>
        <v>96.9648224502359</v>
      </c>
      <c r="AD17" s="521">
        <f t="shared" si="9"/>
        <v>114.1896522851098</v>
      </c>
      <c r="AE17" s="522">
        <f t="shared" ref="AE17:AE30" si="23">AD17/AC17-1</f>
        <v>0.17763998736463416</v>
      </c>
      <c r="AF17" s="523">
        <f t="shared" ref="AF17:AF30" si="24">(AD17-AC17)/(Z17-AB17)</f>
        <v>1.1329526713651104</v>
      </c>
      <c r="AG17" s="523">
        <f t="shared" si="12"/>
        <v>0.10026662500714802</v>
      </c>
      <c r="AI17" s="506"/>
      <c r="AJ17" s="524"/>
      <c r="AK17" s="524">
        <f t="shared" si="14"/>
        <v>265.35442287147657</v>
      </c>
      <c r="AL17" s="524">
        <f t="shared" si="15"/>
        <v>233.55219025978167</v>
      </c>
      <c r="AM17" s="524">
        <f t="shared" si="16"/>
        <v>154.99123538109643</v>
      </c>
      <c r="AN17" s="524">
        <f t="shared" si="17"/>
        <v>154.17738523183414</v>
      </c>
    </row>
    <row r="18" spans="2:40" ht="15" x14ac:dyDescent="0.25">
      <c r="B18" s="367" t="s">
        <v>483</v>
      </c>
      <c r="C18" s="587"/>
      <c r="D18" s="587"/>
      <c r="E18" s="588"/>
      <c r="F18" s="588">
        <v>1058111</v>
      </c>
      <c r="G18" s="587" t="b">
        <v>1</v>
      </c>
      <c r="H18" s="587" t="b">
        <v>1</v>
      </c>
      <c r="J18" s="138" t="str">
        <f t="shared" si="18"/>
        <v>Health care Inpatient</v>
      </c>
      <c r="K18" s="514">
        <f t="shared" si="19"/>
        <v>113.92334822688716</v>
      </c>
      <c r="L18" s="515">
        <f t="shared" si="20"/>
        <v>94.143373493975901</v>
      </c>
      <c r="M18" s="268">
        <f t="shared" si="21"/>
        <v>208.06672172086306</v>
      </c>
      <c r="N18" s="514">
        <f t="shared" si="22"/>
        <v>102.3464597262994</v>
      </c>
      <c r="O18" s="515">
        <f t="shared" si="22"/>
        <v>65.900361445783133</v>
      </c>
      <c r="P18" s="268">
        <f t="shared" si="22"/>
        <v>168.24682117208255</v>
      </c>
      <c r="Q18" s="514">
        <v>0</v>
      </c>
      <c r="R18" s="515">
        <f t="shared" si="2"/>
        <v>120.48110657657057</v>
      </c>
      <c r="S18" s="268">
        <f t="shared" si="3"/>
        <v>120.48110657657057</v>
      </c>
      <c r="T18" s="514">
        <v>0</v>
      </c>
      <c r="U18" s="515">
        <f t="shared" si="4"/>
        <v>119.06761466413525</v>
      </c>
      <c r="V18" s="268">
        <f t="shared" si="13"/>
        <v>119.06761466413525</v>
      </c>
      <c r="W18" s="263"/>
      <c r="Y18" s="516" t="str">
        <f t="shared" si="5"/>
        <v>Health care Inpatient</v>
      </c>
      <c r="Z18" s="517">
        <f t="shared" si="6"/>
        <v>12.681133377878663</v>
      </c>
      <c r="AA18" s="518">
        <f t="shared" si="7"/>
        <v>7.7563529998058005</v>
      </c>
      <c r="AB18" s="519">
        <f t="shared" si="8"/>
        <v>0.32476665387709819</v>
      </c>
      <c r="AC18" s="520">
        <f t="shared" si="9"/>
        <v>35.728240934874059</v>
      </c>
      <c r="AD18" s="521">
        <f t="shared" si="9"/>
        <v>74.269854858179158</v>
      </c>
      <c r="AE18" s="522">
        <f t="shared" si="23"/>
        <v>1.0787436748861858</v>
      </c>
      <c r="AF18" s="523">
        <f t="shared" si="24"/>
        <v>3.1191704474455366</v>
      </c>
      <c r="AG18" s="523">
        <f t="shared" si="12"/>
        <v>0.3765798448365994</v>
      </c>
      <c r="AI18" s="506"/>
      <c r="AJ18" s="524"/>
      <c r="AK18" s="524">
        <f t="shared" si="14"/>
        <v>208.06672172086306</v>
      </c>
      <c r="AL18" s="524">
        <f t="shared" si="15"/>
        <v>168.24682117208255</v>
      </c>
      <c r="AM18" s="524">
        <f t="shared" si="16"/>
        <v>120.48110657657057</v>
      </c>
      <c r="AN18" s="524">
        <f t="shared" si="17"/>
        <v>119.06761466413525</v>
      </c>
    </row>
    <row r="19" spans="2:40" ht="15" x14ac:dyDescent="0.25">
      <c r="B19" s="367" t="s">
        <v>484</v>
      </c>
      <c r="C19" s="587"/>
      <c r="D19" s="587"/>
      <c r="E19" s="588"/>
      <c r="F19" s="588">
        <v>6317545</v>
      </c>
      <c r="G19" s="587" t="b">
        <v>1</v>
      </c>
      <c r="H19" s="587" t="b">
        <v>1</v>
      </c>
      <c r="J19" s="138" t="str">
        <f t="shared" si="18"/>
        <v>Health care Outpatient</v>
      </c>
      <c r="K19" s="514">
        <f t="shared" si="19"/>
        <v>23.936562205812507</v>
      </c>
      <c r="L19" s="515">
        <f t="shared" si="20"/>
        <v>58.528915662650604</v>
      </c>
      <c r="M19" s="268">
        <f t="shared" si="21"/>
        <v>82.465477868463111</v>
      </c>
      <c r="N19" s="514">
        <f t="shared" si="22"/>
        <v>17.903944420677817</v>
      </c>
      <c r="O19" s="515">
        <f t="shared" si="22"/>
        <v>40.970240963855417</v>
      </c>
      <c r="P19" s="268">
        <f t="shared" si="22"/>
        <v>58.874185384533234</v>
      </c>
      <c r="Q19" s="514">
        <v>0</v>
      </c>
      <c r="R19" s="515">
        <f t="shared" si="2"/>
        <v>47.040528590313798</v>
      </c>
      <c r="S19" s="268">
        <f t="shared" si="3"/>
        <v>47.040528590313798</v>
      </c>
      <c r="T19" s="514">
        <v>0</v>
      </c>
      <c r="U19" s="515">
        <f t="shared" si="4"/>
        <v>45.704173977413241</v>
      </c>
      <c r="V19" s="268">
        <f t="shared" si="13"/>
        <v>45.704173977413241</v>
      </c>
      <c r="W19" s="263"/>
      <c r="Y19" s="516" t="str">
        <f t="shared" si="5"/>
        <v>Health care Outpatient</v>
      </c>
      <c r="Z19" s="517">
        <f t="shared" si="6"/>
        <v>5.3935534641779741</v>
      </c>
      <c r="AA19" s="518">
        <f t="shared" si="7"/>
        <v>2.3936774140817434</v>
      </c>
      <c r="AB19" s="519">
        <f t="shared" si="8"/>
        <v>0.12680158326049998</v>
      </c>
      <c r="AC19" s="520">
        <f t="shared" si="9"/>
        <v>2.3924199824166492</v>
      </c>
      <c r="AD19" s="521">
        <f t="shared" si="9"/>
        <v>21.574289488179929</v>
      </c>
      <c r="AE19" s="522">
        <f t="shared" si="23"/>
        <v>8.0177684715654092</v>
      </c>
      <c r="AF19" s="523">
        <f t="shared" si="24"/>
        <v>3.6420681929716761</v>
      </c>
      <c r="AG19" s="523">
        <f t="shared" si="12"/>
        <v>1.0713767343697487</v>
      </c>
      <c r="AI19" s="506"/>
      <c r="AJ19" s="524"/>
      <c r="AK19" s="524">
        <f t="shared" si="14"/>
        <v>82.465477868463111</v>
      </c>
      <c r="AL19" s="524">
        <f t="shared" si="15"/>
        <v>58.874185384533234</v>
      </c>
      <c r="AM19" s="524">
        <f t="shared" si="16"/>
        <v>47.040528590313798</v>
      </c>
      <c r="AN19" s="524">
        <f t="shared" si="17"/>
        <v>45.704173977413241</v>
      </c>
    </row>
    <row r="20" spans="2:40" ht="15" x14ac:dyDescent="0.25">
      <c r="B20" s="367" t="s">
        <v>416</v>
      </c>
      <c r="C20" s="587"/>
      <c r="D20" s="587"/>
      <c r="E20" s="588"/>
      <c r="F20" s="588">
        <v>0</v>
      </c>
      <c r="G20" s="587" t="b">
        <v>1</v>
      </c>
      <c r="H20" s="587" t="b">
        <v>1</v>
      </c>
      <c r="J20" s="138" t="str">
        <f t="shared" si="18"/>
        <v>Lodging</v>
      </c>
      <c r="K20" s="514">
        <f t="shared" si="19"/>
        <v>40.530438669674716</v>
      </c>
      <c r="L20" s="515">
        <f t="shared" si="20"/>
        <v>42.320481927710851</v>
      </c>
      <c r="M20" s="268">
        <f t="shared" si="21"/>
        <v>82.850920597385567</v>
      </c>
      <c r="N20" s="514">
        <f t="shared" si="22"/>
        <v>38.260475393772055</v>
      </c>
      <c r="O20" s="515">
        <f t="shared" si="22"/>
        <v>29.624337349397592</v>
      </c>
      <c r="P20" s="268">
        <f t="shared" si="22"/>
        <v>67.884812743169647</v>
      </c>
      <c r="Q20" s="514">
        <v>0</v>
      </c>
      <c r="R20" s="515">
        <f t="shared" si="2"/>
        <v>47.935818500879442</v>
      </c>
      <c r="S20" s="268">
        <f t="shared" si="3"/>
        <v>47.935818500879442</v>
      </c>
      <c r="T20" s="514">
        <v>0</v>
      </c>
      <c r="U20" s="515">
        <f t="shared" si="4"/>
        <v>47.935818500879442</v>
      </c>
      <c r="V20" s="268">
        <f t="shared" si="13"/>
        <v>47.935818500879442</v>
      </c>
      <c r="W20" s="263"/>
      <c r="Y20" s="516" t="str">
        <f t="shared" si="5"/>
        <v>Lodging</v>
      </c>
      <c r="Z20" s="517">
        <f t="shared" si="6"/>
        <v>5.1332690226271005</v>
      </c>
      <c r="AA20" s="518">
        <f t="shared" si="7"/>
        <v>3.0752579468714707</v>
      </c>
      <c r="AB20" s="519">
        <f t="shared" si="8"/>
        <v>0.12921491026890972</v>
      </c>
      <c r="AC20" s="520">
        <f t="shared" si="9"/>
        <v>7.6951427135292221</v>
      </c>
      <c r="AD20" s="521">
        <f t="shared" si="9"/>
        <v>17.783054148576017</v>
      </c>
      <c r="AE20" s="522">
        <f t="shared" si="23"/>
        <v>1.3109453340365897</v>
      </c>
      <c r="AF20" s="523">
        <f t="shared" si="24"/>
        <v>2.0159477113033866</v>
      </c>
      <c r="AG20" s="523">
        <f t="shared" si="12"/>
        <v>0.2636640379196355</v>
      </c>
      <c r="AI20" s="506"/>
      <c r="AJ20" s="524"/>
      <c r="AK20" s="524">
        <f t="shared" si="14"/>
        <v>82.850920597385567</v>
      </c>
      <c r="AL20" s="524">
        <f t="shared" si="15"/>
        <v>67.884812743169647</v>
      </c>
      <c r="AM20" s="524">
        <f t="shared" si="16"/>
        <v>47.935818500879442</v>
      </c>
      <c r="AN20" s="524">
        <f t="shared" si="17"/>
        <v>47.935818500879442</v>
      </c>
    </row>
    <row r="21" spans="2:40" ht="15" x14ac:dyDescent="0.25">
      <c r="B21" s="367" t="s">
        <v>485</v>
      </c>
      <c r="C21" s="587"/>
      <c r="D21" s="587"/>
      <c r="E21" s="588"/>
      <c r="F21" s="588">
        <v>11975697</v>
      </c>
      <c r="G21" s="587" t="b">
        <v>1</v>
      </c>
      <c r="H21" s="587" t="b">
        <v>1</v>
      </c>
      <c r="J21" s="138" t="str">
        <f t="shared" si="18"/>
        <v>Mercantile Enclosed and strip malls</v>
      </c>
      <c r="K21" s="514">
        <f t="shared" si="19"/>
        <v>47.725013420676632</v>
      </c>
      <c r="L21" s="515">
        <f t="shared" si="20"/>
        <v>66.839759036144585</v>
      </c>
      <c r="M21" s="268">
        <f t="shared" si="21"/>
        <v>114.56477245682122</v>
      </c>
      <c r="N21" s="514">
        <f t="shared" si="22"/>
        <v>44.269459059623443</v>
      </c>
      <c r="O21" s="515">
        <f t="shared" si="22"/>
        <v>46.787831325301205</v>
      </c>
      <c r="P21" s="268">
        <f t="shared" si="22"/>
        <v>91.057290384924642</v>
      </c>
      <c r="Q21" s="514">
        <v>0</v>
      </c>
      <c r="R21" s="515">
        <f t="shared" si="2"/>
        <v>70.514774965926208</v>
      </c>
      <c r="S21" s="268">
        <f t="shared" si="3"/>
        <v>70.514774965926208</v>
      </c>
      <c r="T21" s="514">
        <v>0</v>
      </c>
      <c r="U21" s="515">
        <f t="shared" si="4"/>
        <v>70.514774965926222</v>
      </c>
      <c r="V21" s="268">
        <f t="shared" si="13"/>
        <v>70.514774965926222</v>
      </c>
      <c r="W21" s="263"/>
      <c r="Y21" s="516" t="str">
        <f t="shared" si="5"/>
        <v>Mercantile Enclosed and strip malls</v>
      </c>
      <c r="Z21" s="517">
        <f t="shared" si="6"/>
        <v>7.2423037449592691</v>
      </c>
      <c r="AA21" s="518">
        <f t="shared" si="7"/>
        <v>3.9988208694220972</v>
      </c>
      <c r="AB21" s="519">
        <f t="shared" si="8"/>
        <v>0.19007832983361603</v>
      </c>
      <c r="AC21" s="520">
        <f t="shared" si="9"/>
        <v>18.601579414909757</v>
      </c>
      <c r="AD21" s="521">
        <f t="shared" si="9"/>
        <v>30.249709981277075</v>
      </c>
      <c r="AE21" s="522">
        <f t="shared" si="23"/>
        <v>0.62619040601632836</v>
      </c>
      <c r="AF21" s="523">
        <f t="shared" si="24"/>
        <v>1.6516957244991548</v>
      </c>
      <c r="AG21" s="523">
        <f t="shared" si="12"/>
        <v>0.26311888181600013</v>
      </c>
      <c r="AI21" s="506"/>
      <c r="AJ21" s="524"/>
      <c r="AK21" s="524">
        <f t="shared" si="14"/>
        <v>114.56477245682122</v>
      </c>
      <c r="AL21" s="524">
        <f t="shared" si="15"/>
        <v>91.057290384924642</v>
      </c>
      <c r="AM21" s="524">
        <f t="shared" si="16"/>
        <v>70.514774965926208</v>
      </c>
      <c r="AN21" s="524">
        <f t="shared" si="17"/>
        <v>70.514774965926222</v>
      </c>
    </row>
    <row r="22" spans="2:40" ht="15" x14ac:dyDescent="0.25">
      <c r="B22" s="367" t="s">
        <v>486</v>
      </c>
      <c r="C22" s="587"/>
      <c r="D22" s="587"/>
      <c r="E22" s="588"/>
      <c r="F22" s="588">
        <v>1693569</v>
      </c>
      <c r="G22" s="587" t="b">
        <v>1</v>
      </c>
      <c r="H22" s="587" t="b">
        <v>1</v>
      </c>
      <c r="J22" s="138" t="str">
        <f t="shared" si="18"/>
        <v>Mercantile Retail (other than mall)</v>
      </c>
      <c r="K22" s="514">
        <f t="shared" si="19"/>
        <v>19.005102946781491</v>
      </c>
      <c r="L22" s="515">
        <f t="shared" si="20"/>
        <v>47.484337349397585</v>
      </c>
      <c r="M22" s="268">
        <f t="shared" si="21"/>
        <v>66.489440296179083</v>
      </c>
      <c r="N22" s="514">
        <f t="shared" si="22"/>
        <v>15.822217453747783</v>
      </c>
      <c r="O22" s="515">
        <f t="shared" si="22"/>
        <v>33.239036144578307</v>
      </c>
      <c r="P22" s="268">
        <f t="shared" si="22"/>
        <v>49.06125359832609</v>
      </c>
      <c r="Q22" s="514">
        <v>0</v>
      </c>
      <c r="R22" s="515">
        <f t="shared" si="2"/>
        <v>40.236008987562371</v>
      </c>
      <c r="S22" s="268">
        <f t="shared" si="3"/>
        <v>40.236008987562371</v>
      </c>
      <c r="T22" s="514">
        <v>0</v>
      </c>
      <c r="U22" s="515">
        <f t="shared" si="4"/>
        <v>40.236008987562371</v>
      </c>
      <c r="V22" s="268">
        <f t="shared" si="13"/>
        <v>40.236008987562371</v>
      </c>
      <c r="W22" s="263"/>
      <c r="Y22" s="516" t="str">
        <f t="shared" si="5"/>
        <v>Mercantile Retail (other than mall)</v>
      </c>
      <c r="Z22" s="517">
        <f t="shared" si="6"/>
        <v>4.3537568186023856</v>
      </c>
      <c r="AA22" s="518">
        <f t="shared" si="7"/>
        <v>2.0108564993531317</v>
      </c>
      <c r="AB22" s="519">
        <f t="shared" si="8"/>
        <v>0.10845944543142687</v>
      </c>
      <c r="AC22" s="520">
        <f t="shared" si="9"/>
        <v>5.8012552949268494</v>
      </c>
      <c r="AD22" s="521">
        <f t="shared" si="9"/>
        <v>15.769460865015198</v>
      </c>
      <c r="AE22" s="522">
        <f t="shared" si="23"/>
        <v>1.7182842442402877</v>
      </c>
      <c r="AF22" s="523">
        <f t="shared" si="24"/>
        <v>2.3480582616154289</v>
      </c>
      <c r="AG22" s="523">
        <f t="shared" si="12"/>
        <v>0.63001318236384085</v>
      </c>
      <c r="AI22" s="506"/>
      <c r="AJ22" s="524"/>
      <c r="AK22" s="524">
        <f t="shared" si="14"/>
        <v>66.489440296179083</v>
      </c>
      <c r="AL22" s="524">
        <f t="shared" si="15"/>
        <v>49.06125359832609</v>
      </c>
      <c r="AM22" s="524">
        <f t="shared" si="16"/>
        <v>40.236008987562371</v>
      </c>
      <c r="AN22" s="524">
        <f t="shared" si="17"/>
        <v>40.236008987562371</v>
      </c>
    </row>
    <row r="23" spans="2:40" ht="15" x14ac:dyDescent="0.25">
      <c r="B23" s="367" t="s">
        <v>425</v>
      </c>
      <c r="C23" s="587"/>
      <c r="D23" s="587"/>
      <c r="E23" s="588"/>
      <c r="F23" s="588">
        <v>405272</v>
      </c>
      <c r="G23" s="587" t="b">
        <v>1</v>
      </c>
      <c r="H23" s="587" t="b">
        <v>1</v>
      </c>
      <c r="J23" s="138" t="str">
        <f t="shared" si="18"/>
        <v>Office</v>
      </c>
      <c r="K23" s="514">
        <f t="shared" si="19"/>
        <v>27.369811986940704</v>
      </c>
      <c r="L23" s="515">
        <f t="shared" si="20"/>
        <v>50.484337349397592</v>
      </c>
      <c r="M23" s="268">
        <f t="shared" si="21"/>
        <v>77.854149336338295</v>
      </c>
      <c r="N23" s="514">
        <f t="shared" si="22"/>
        <v>23.373197395665841</v>
      </c>
      <c r="O23" s="515">
        <f t="shared" si="22"/>
        <v>35.339036144578309</v>
      </c>
      <c r="P23" s="268">
        <f t="shared" si="22"/>
        <v>58.712233540244149</v>
      </c>
      <c r="Q23" s="514">
        <v>0</v>
      </c>
      <c r="R23" s="515">
        <f t="shared" si="2"/>
        <v>48.500186499106988</v>
      </c>
      <c r="S23" s="268">
        <f t="shared" si="3"/>
        <v>48.500186499106988</v>
      </c>
      <c r="T23" s="514">
        <v>0</v>
      </c>
      <c r="U23" s="515">
        <f t="shared" si="4"/>
        <v>48.500186499106988</v>
      </c>
      <c r="V23" s="268">
        <f t="shared" si="13"/>
        <v>48.500186499106988</v>
      </c>
      <c r="W23" s="263"/>
      <c r="Y23" s="516" t="str">
        <f t="shared" si="5"/>
        <v>Office</v>
      </c>
      <c r="Z23" s="517">
        <f t="shared" si="6"/>
        <v>5.009301185996633</v>
      </c>
      <c r="AA23" s="518">
        <f t="shared" si="7"/>
        <v>2.4858421786633871</v>
      </c>
      <c r="AB23" s="519">
        <f t="shared" si="8"/>
        <v>0.13073621025981899</v>
      </c>
      <c r="AC23" s="520">
        <f t="shared" si="9"/>
        <v>7.7646705789349681</v>
      </c>
      <c r="AD23" s="521">
        <f t="shared" si="9"/>
        <v>20.355138680749327</v>
      </c>
      <c r="AE23" s="522">
        <f t="shared" si="23"/>
        <v>1.6215070522079142</v>
      </c>
      <c r="AF23" s="523">
        <f t="shared" si="24"/>
        <v>2.5807728634203153</v>
      </c>
      <c r="AG23" s="523">
        <f t="shared" si="12"/>
        <v>0.53867119199314362</v>
      </c>
      <c r="AI23" s="506"/>
      <c r="AJ23" s="524"/>
      <c r="AK23" s="524">
        <f t="shared" si="14"/>
        <v>77.854149336338295</v>
      </c>
      <c r="AL23" s="524">
        <f t="shared" si="15"/>
        <v>58.712233540244149</v>
      </c>
      <c r="AM23" s="524">
        <f t="shared" si="16"/>
        <v>48.500186499106988</v>
      </c>
      <c r="AN23" s="524">
        <f t="shared" si="17"/>
        <v>48.500186499106988</v>
      </c>
    </row>
    <row r="24" spans="2:40" ht="15" x14ac:dyDescent="0.25">
      <c r="B24" s="367" t="s">
        <v>173</v>
      </c>
      <c r="C24" s="587"/>
      <c r="D24" s="587"/>
      <c r="E24" s="588"/>
      <c r="F24" s="588">
        <v>224298</v>
      </c>
      <c r="G24" s="587" t="b">
        <v>1</v>
      </c>
      <c r="H24" s="587" t="b">
        <v>1</v>
      </c>
      <c r="J24" s="138" t="str">
        <f t="shared" si="18"/>
        <v>Other</v>
      </c>
      <c r="K24" s="514">
        <f t="shared" si="19"/>
        <v>25.257493269063946</v>
      </c>
      <c r="L24" s="515">
        <f t="shared" si="20"/>
        <v>92.377108433734946</v>
      </c>
      <c r="M24" s="268">
        <f t="shared" si="21"/>
        <v>117.63460170279889</v>
      </c>
      <c r="N24" s="514">
        <f t="shared" si="22"/>
        <v>18.356403668047015</v>
      </c>
      <c r="O24" s="515">
        <f t="shared" si="22"/>
        <v>64.663975903614457</v>
      </c>
      <c r="P24" s="268">
        <f t="shared" si="22"/>
        <v>83.020379571661465</v>
      </c>
      <c r="Q24" s="514">
        <v>0</v>
      </c>
      <c r="R24" s="515">
        <f t="shared" si="2"/>
        <v>70.738823626513195</v>
      </c>
      <c r="S24" s="268">
        <f t="shared" si="3"/>
        <v>70.738823626513195</v>
      </c>
      <c r="T24" s="514">
        <v>0</v>
      </c>
      <c r="U24" s="515">
        <f t="shared" si="4"/>
        <v>68.754010057753888</v>
      </c>
      <c r="V24" s="268">
        <f t="shared" si="13"/>
        <v>68.754010057753888</v>
      </c>
      <c r="W24" s="263"/>
      <c r="Y24" s="516" t="str">
        <f t="shared" si="5"/>
        <v>Other</v>
      </c>
      <c r="Z24" s="517">
        <f t="shared" si="6"/>
        <v>7.8476890232301741</v>
      </c>
      <c r="AA24" s="518">
        <f t="shared" si="7"/>
        <v>3.2521008433085421</v>
      </c>
      <c r="AB24" s="519">
        <f t="shared" si="8"/>
        <v>0.19068227128030449</v>
      </c>
      <c r="AC24" s="520">
        <f t="shared" si="9"/>
        <v>2.5163096974833992</v>
      </c>
      <c r="AD24" s="521">
        <f t="shared" si="9"/>
        <v>24.191309633095521</v>
      </c>
      <c r="AE24" s="522">
        <f t="shared" si="23"/>
        <v>8.6138045556513294</v>
      </c>
      <c r="AF24" s="523">
        <f t="shared" si="24"/>
        <v>2.8307406063201586</v>
      </c>
      <c r="AG24" s="523">
        <f t="shared" si="12"/>
        <v>1.1807868429774067</v>
      </c>
      <c r="AI24" s="506"/>
      <c r="AJ24" s="524"/>
      <c r="AK24" s="524">
        <f t="shared" si="14"/>
        <v>117.63460170279889</v>
      </c>
      <c r="AL24" s="524">
        <f t="shared" si="15"/>
        <v>83.020379571661465</v>
      </c>
      <c r="AM24" s="524">
        <f t="shared" si="16"/>
        <v>70.738823626513195</v>
      </c>
      <c r="AN24" s="524">
        <f t="shared" si="17"/>
        <v>68.754010057753888</v>
      </c>
    </row>
    <row r="25" spans="2:40" ht="15" x14ac:dyDescent="0.25">
      <c r="B25" s="367" t="s">
        <v>427</v>
      </c>
      <c r="C25" s="587"/>
      <c r="D25" s="587"/>
      <c r="E25" s="588"/>
      <c r="F25" s="588">
        <v>616152</v>
      </c>
      <c r="G25" s="587" t="b">
        <v>1</v>
      </c>
      <c r="H25" s="587" t="b">
        <v>1</v>
      </c>
      <c r="J25" s="138" t="str">
        <f t="shared" si="18"/>
        <v>Public assembly</v>
      </c>
      <c r="K25" s="514">
        <f t="shared" si="19"/>
        <v>31.289274830311545</v>
      </c>
      <c r="L25" s="515">
        <f t="shared" si="20"/>
        <v>42.067469879518065</v>
      </c>
      <c r="M25" s="268">
        <f t="shared" si="21"/>
        <v>73.356744709829613</v>
      </c>
      <c r="N25" s="514">
        <f t="shared" si="22"/>
        <v>25.811593661445457</v>
      </c>
      <c r="O25" s="515">
        <f t="shared" si="22"/>
        <v>29.447228915662642</v>
      </c>
      <c r="P25" s="268">
        <f t="shared" si="22"/>
        <v>55.258822577108099</v>
      </c>
      <c r="Q25" s="514">
        <v>0</v>
      </c>
      <c r="R25" s="515">
        <f t="shared" si="2"/>
        <v>42.34239691273271</v>
      </c>
      <c r="S25" s="268">
        <f t="shared" si="3"/>
        <v>42.34239691273271</v>
      </c>
      <c r="T25" s="514">
        <v>0</v>
      </c>
      <c r="U25" s="515">
        <f t="shared" si="4"/>
        <v>43.68682703602137</v>
      </c>
      <c r="V25" s="268">
        <f t="shared" si="13"/>
        <v>43.68682703602137</v>
      </c>
      <c r="W25" s="263"/>
      <c r="Y25" s="516" t="str">
        <f t="shared" si="5"/>
        <v>Public assembly</v>
      </c>
      <c r="Z25" s="517">
        <f t="shared" si="6"/>
        <v>4.6246507786859938</v>
      </c>
      <c r="AA25" s="518">
        <f t="shared" si="7"/>
        <v>2.4078608267162198</v>
      </c>
      <c r="AB25" s="519">
        <f t="shared" si="8"/>
        <v>0.11413738596220986</v>
      </c>
      <c r="AC25" s="520">
        <f t="shared" si="9"/>
        <v>9.7845054448896462</v>
      </c>
      <c r="AD25" s="521">
        <f t="shared" si="9"/>
        <v>26.603687545072653</v>
      </c>
      <c r="AE25" s="522">
        <f t="shared" si="23"/>
        <v>1.718960881049691</v>
      </c>
      <c r="AF25" s="523">
        <f t="shared" si="24"/>
        <v>3.7288841947160991</v>
      </c>
      <c r="AG25" s="523">
        <f t="shared" si="12"/>
        <v>0.65161346954355892</v>
      </c>
      <c r="AI25" s="506"/>
      <c r="AJ25" s="524"/>
      <c r="AK25" s="524">
        <f t="shared" si="14"/>
        <v>73.356744709829613</v>
      </c>
      <c r="AL25" s="524">
        <f t="shared" si="15"/>
        <v>55.258822577108099</v>
      </c>
      <c r="AM25" s="524">
        <f t="shared" si="16"/>
        <v>42.34239691273271</v>
      </c>
      <c r="AN25" s="524">
        <f t="shared" si="17"/>
        <v>43.68682703602137</v>
      </c>
    </row>
    <row r="26" spans="2:40" ht="15" x14ac:dyDescent="0.25">
      <c r="B26" s="367" t="s">
        <v>488</v>
      </c>
      <c r="C26" s="587"/>
      <c r="D26" s="587"/>
      <c r="E26" s="588"/>
      <c r="F26" s="588">
        <v>1269985</v>
      </c>
      <c r="G26" s="587" t="b">
        <v>1</v>
      </c>
      <c r="H26" s="587" t="b">
        <v>1</v>
      </c>
      <c r="J26" s="138" t="str">
        <f t="shared" si="18"/>
        <v>Public order and safety</v>
      </c>
      <c r="K26" s="514">
        <f t="shared" si="19"/>
        <v>38.121056391559151</v>
      </c>
      <c r="L26" s="515">
        <f t="shared" si="20"/>
        <v>43.450602409638563</v>
      </c>
      <c r="M26" s="268">
        <f t="shared" si="21"/>
        <v>81.571658801197714</v>
      </c>
      <c r="N26" s="514">
        <f t="shared" si="22"/>
        <v>34.096843678805485</v>
      </c>
      <c r="O26" s="515">
        <f t="shared" si="22"/>
        <v>30.415421686746992</v>
      </c>
      <c r="P26" s="268">
        <f t="shared" si="22"/>
        <v>64.51226536555248</v>
      </c>
      <c r="Q26" s="514">
        <v>0</v>
      </c>
      <c r="R26" s="515">
        <f t="shared" si="2"/>
        <v>44.222541713981457</v>
      </c>
      <c r="S26" s="268">
        <f t="shared" si="3"/>
        <v>44.222541713981457</v>
      </c>
      <c r="T26" s="514">
        <v>0</v>
      </c>
      <c r="U26" s="515">
        <f t="shared" si="4"/>
        <v>44.222541713981457</v>
      </c>
      <c r="V26" s="268">
        <f t="shared" si="13"/>
        <v>44.222541713981457</v>
      </c>
      <c r="W26" s="263"/>
      <c r="Y26" s="516" t="str">
        <f t="shared" si="5"/>
        <v>Public order and safety</v>
      </c>
      <c r="Z26" s="517">
        <f t="shared" si="6"/>
        <v>5.0849028747016698</v>
      </c>
      <c r="AA26" s="518">
        <f t="shared" si="7"/>
        <v>2.8819861171924464</v>
      </c>
      <c r="AB26" s="519">
        <f t="shared" si="8"/>
        <v>0.11920546969132062</v>
      </c>
      <c r="AC26" s="520">
        <f t="shared" si="9"/>
        <v>6.1671237600495097</v>
      </c>
      <c r="AD26" s="521">
        <f t="shared" si="9"/>
        <v>21.199237831274594</v>
      </c>
      <c r="AE26" s="522">
        <f t="shared" si="23"/>
        <v>2.4374594472390494</v>
      </c>
      <c r="AF26" s="523">
        <f t="shared" si="24"/>
        <v>3.0271909150279277</v>
      </c>
      <c r="AG26" s="523">
        <f t="shared" si="12"/>
        <v>0.44086526638150408</v>
      </c>
      <c r="AI26" s="506"/>
      <c r="AJ26" s="524"/>
      <c r="AK26" s="524">
        <f t="shared" si="14"/>
        <v>81.571658801197714</v>
      </c>
      <c r="AL26" s="524">
        <f t="shared" si="15"/>
        <v>64.51226536555248</v>
      </c>
      <c r="AM26" s="524">
        <f t="shared" si="16"/>
        <v>44.222541713981457</v>
      </c>
      <c r="AN26" s="524">
        <f t="shared" si="17"/>
        <v>44.222541713981457</v>
      </c>
    </row>
    <row r="27" spans="2:40" ht="15" x14ac:dyDescent="0.25">
      <c r="B27" s="367" t="s">
        <v>431</v>
      </c>
      <c r="C27" s="587"/>
      <c r="D27" s="587"/>
      <c r="E27" s="588"/>
      <c r="F27" s="588">
        <v>1068166</v>
      </c>
      <c r="G27" s="587" t="b">
        <v>1</v>
      </c>
      <c r="H27" s="587" t="b">
        <v>1</v>
      </c>
      <c r="J27" s="138" t="str">
        <f t="shared" si="18"/>
        <v>Religious worship</v>
      </c>
      <c r="K27" s="514">
        <f t="shared" si="19"/>
        <v>18.411101154611575</v>
      </c>
      <c r="L27" s="515">
        <f t="shared" si="20"/>
        <v>15.466265060240964</v>
      </c>
      <c r="M27" s="268">
        <f t="shared" si="21"/>
        <v>33.877366214852543</v>
      </c>
      <c r="N27" s="514">
        <f t="shared" si="22"/>
        <v>14.541848899172841</v>
      </c>
      <c r="O27" s="515">
        <f t="shared" si="22"/>
        <v>10.826385542168675</v>
      </c>
      <c r="P27" s="268">
        <f t="shared" si="22"/>
        <v>25.368234441341514</v>
      </c>
      <c r="Q27" s="514">
        <v>0</v>
      </c>
      <c r="R27" s="515">
        <f t="shared" si="2"/>
        <v>17.074318249785154</v>
      </c>
      <c r="S27" s="268">
        <f t="shared" si="3"/>
        <v>17.074318249785154</v>
      </c>
      <c r="T27" s="514">
        <v>0</v>
      </c>
      <c r="U27" s="515">
        <f t="shared" si="4"/>
        <v>17.074318249785154</v>
      </c>
      <c r="V27" s="268">
        <f t="shared" si="13"/>
        <v>17.074318249785154</v>
      </c>
      <c r="W27" s="263"/>
      <c r="Y27" s="516" t="str">
        <f t="shared" si="5"/>
        <v>Religious worship</v>
      </c>
      <c r="Z27" s="517">
        <f t="shared" si="6"/>
        <v>2.0671267077326041</v>
      </c>
      <c r="AA27" s="518">
        <f t="shared" si="7"/>
        <v>1.1535771889289839</v>
      </c>
      <c r="AB27" s="519">
        <f t="shared" si="8"/>
        <v>4.6025218084224842E-2</v>
      </c>
      <c r="AC27" s="520">
        <f t="shared" si="9"/>
        <v>5.4592162723573532</v>
      </c>
      <c r="AD27" s="521">
        <f t="shared" si="9"/>
        <v>17.257616042438269</v>
      </c>
      <c r="AE27" s="522">
        <f t="shared" si="23"/>
        <v>2.1611892955811087</v>
      </c>
      <c r="AF27" s="523">
        <f t="shared" si="24"/>
        <v>5.8376087645819013</v>
      </c>
      <c r="AG27" s="523">
        <f t="shared" si="12"/>
        <v>0.81134110606471943</v>
      </c>
      <c r="AJ27" s="524"/>
      <c r="AK27" s="524">
        <f t="shared" si="14"/>
        <v>33.877366214852543</v>
      </c>
      <c r="AL27" s="524">
        <f t="shared" si="15"/>
        <v>25.368234441341514</v>
      </c>
      <c r="AM27" s="524">
        <f t="shared" si="16"/>
        <v>17.074318249785154</v>
      </c>
      <c r="AN27" s="524">
        <f t="shared" si="17"/>
        <v>17.074318249785154</v>
      </c>
    </row>
    <row r="28" spans="2:40" ht="15" x14ac:dyDescent="0.25">
      <c r="B28" s="367" t="s">
        <v>433</v>
      </c>
      <c r="C28" s="587"/>
      <c r="D28" s="587"/>
      <c r="E28" s="588"/>
      <c r="F28" s="588">
        <v>2677012</v>
      </c>
      <c r="G28" s="587" t="b">
        <v>1</v>
      </c>
      <c r="H28" s="587" t="b">
        <v>1</v>
      </c>
      <c r="J28" s="138" t="str">
        <f t="shared" si="18"/>
        <v>Service</v>
      </c>
      <c r="K28" s="514">
        <f t="shared" si="19"/>
        <v>33.191763639548441</v>
      </c>
      <c r="L28" s="515">
        <f t="shared" si="20"/>
        <v>25.181927710843372</v>
      </c>
      <c r="M28" s="268">
        <f t="shared" si="21"/>
        <v>58.373691350391809</v>
      </c>
      <c r="N28" s="514">
        <f t="shared" si="22"/>
        <v>27.679364764950471</v>
      </c>
      <c r="O28" s="515">
        <f t="shared" si="22"/>
        <v>17.627349397590358</v>
      </c>
      <c r="P28" s="268">
        <f t="shared" si="22"/>
        <v>45.306714162540828</v>
      </c>
      <c r="Q28" s="514">
        <v>0</v>
      </c>
      <c r="R28" s="515">
        <f t="shared" si="2"/>
        <v>27.804815095987003</v>
      </c>
      <c r="S28" s="268">
        <f t="shared" si="3"/>
        <v>27.804815095987003</v>
      </c>
      <c r="T28" s="514">
        <v>0</v>
      </c>
      <c r="U28" s="515">
        <f t="shared" si="4"/>
        <v>26.856890602953854</v>
      </c>
      <c r="V28" s="268">
        <f t="shared" si="13"/>
        <v>26.856890602953854</v>
      </c>
      <c r="W28" s="263"/>
      <c r="Y28" s="516" t="str">
        <f t="shared" si="5"/>
        <v>Service</v>
      </c>
      <c r="Z28" s="517">
        <f t="shared" si="6"/>
        <v>3.5364169377166359</v>
      </c>
      <c r="AA28" s="518">
        <f t="shared" si="7"/>
        <v>2.0908118924535959</v>
      </c>
      <c r="AB28" s="519">
        <f t="shared" si="8"/>
        <v>7.4950147927601823E-2</v>
      </c>
      <c r="AC28" s="520">
        <f t="shared" ref="AC28:AD30" si="25">AN52</f>
        <v>3.3607953616693189</v>
      </c>
      <c r="AD28" s="521">
        <f t="shared" si="25"/>
        <v>22.317898375037331</v>
      </c>
      <c r="AE28" s="522">
        <f t="shared" si="23"/>
        <v>5.6406597169165194</v>
      </c>
      <c r="AF28" s="523">
        <f t="shared" si="24"/>
        <v>5.4766098202327091</v>
      </c>
      <c r="AG28" s="523">
        <f t="shared" si="12"/>
        <v>0.68488215587132295</v>
      </c>
      <c r="AJ28" s="524"/>
      <c r="AK28" s="524">
        <f t="shared" si="14"/>
        <v>58.373691350391809</v>
      </c>
      <c r="AL28" s="524">
        <f t="shared" si="15"/>
        <v>45.306714162540828</v>
      </c>
      <c r="AM28" s="524">
        <f t="shared" si="16"/>
        <v>27.804815095987003</v>
      </c>
      <c r="AN28" s="524">
        <f t="shared" si="17"/>
        <v>26.856890602953854</v>
      </c>
    </row>
    <row r="29" spans="2:40" ht="15" x14ac:dyDescent="0.25">
      <c r="B29" s="367" t="s">
        <v>489</v>
      </c>
      <c r="C29" s="587"/>
      <c r="D29" s="587"/>
      <c r="E29" s="588"/>
      <c r="F29" s="588">
        <v>5336347</v>
      </c>
      <c r="G29" s="587" t="b">
        <v>1</v>
      </c>
      <c r="H29" s="587" t="b">
        <v>1</v>
      </c>
      <c r="J29" s="138" t="str">
        <f t="shared" si="18"/>
        <v>Warehouse and storage</v>
      </c>
      <c r="K29" s="514">
        <f t="shared" si="19"/>
        <v>18.457815571280534</v>
      </c>
      <c r="L29" s="515">
        <f t="shared" si="20"/>
        <v>21.290361445783137</v>
      </c>
      <c r="M29" s="268">
        <f t="shared" si="21"/>
        <v>39.748177017063668</v>
      </c>
      <c r="N29" s="514">
        <f t="shared" si="22"/>
        <v>15.859778423956396</v>
      </c>
      <c r="O29" s="515">
        <f t="shared" si="22"/>
        <v>14.903253012048195</v>
      </c>
      <c r="P29" s="268">
        <f t="shared" si="22"/>
        <v>30.763031436004589</v>
      </c>
      <c r="Q29" s="514">
        <v>0</v>
      </c>
      <c r="R29" s="515">
        <f t="shared" si="2"/>
        <v>24.151641529660935</v>
      </c>
      <c r="S29" s="268">
        <f t="shared" si="3"/>
        <v>24.151641529660935</v>
      </c>
      <c r="T29" s="514">
        <v>0</v>
      </c>
      <c r="U29" s="515">
        <f t="shared" si="4"/>
        <v>24.151641529660935</v>
      </c>
      <c r="V29" s="268">
        <f t="shared" si="13"/>
        <v>24.151641529660935</v>
      </c>
      <c r="W29" s="263"/>
      <c r="Y29" s="516" t="str">
        <f t="shared" si="5"/>
        <v>Warehouse and storage</v>
      </c>
      <c r="Z29" s="517">
        <f t="shared" si="6"/>
        <v>2.4798078855392038</v>
      </c>
      <c r="AA29" s="518">
        <f t="shared" si="7"/>
        <v>1.3671424872882971</v>
      </c>
      <c r="AB29" s="519">
        <f t="shared" si="8"/>
        <v>6.5102720485408147E-2</v>
      </c>
      <c r="AC29" s="520">
        <f t="shared" si="25"/>
        <v>5.5897350219014461</v>
      </c>
      <c r="AD29" s="521">
        <f t="shared" si="25"/>
        <v>13.709236729360988</v>
      </c>
      <c r="AE29" s="522">
        <f t="shared" si="23"/>
        <v>1.4525736328548811</v>
      </c>
      <c r="AF29" s="523">
        <f t="shared" si="24"/>
        <v>3.3625230214300936</v>
      </c>
      <c r="AG29" s="523">
        <f t="shared" si="12"/>
        <v>0.51195555766371437</v>
      </c>
      <c r="AJ29" s="524"/>
      <c r="AK29" s="524">
        <f t="shared" si="14"/>
        <v>39.748177017063668</v>
      </c>
      <c r="AL29" s="524">
        <f t="shared" si="15"/>
        <v>30.763031436004589</v>
      </c>
      <c r="AM29" s="524">
        <f t="shared" si="16"/>
        <v>24.151641529660935</v>
      </c>
      <c r="AN29" s="524">
        <f t="shared" si="17"/>
        <v>24.151641529660935</v>
      </c>
    </row>
    <row r="30" spans="2:40" ht="15" x14ac:dyDescent="0.25">
      <c r="B30" s="367" t="s">
        <v>438</v>
      </c>
      <c r="C30" s="587"/>
      <c r="D30" s="587"/>
      <c r="E30" s="588"/>
      <c r="F30" s="588">
        <v>15347842</v>
      </c>
      <c r="G30" s="587" t="b">
        <v>1</v>
      </c>
      <c r="H30" s="587" t="b">
        <v>1</v>
      </c>
      <c r="J30" s="138" t="str">
        <f t="shared" si="18"/>
        <v>Vacant</v>
      </c>
      <c r="K30" s="514">
        <f t="shared" si="19"/>
        <v>9.0866606927669462</v>
      </c>
      <c r="L30" s="515">
        <f t="shared" si="20"/>
        <v>14.434939759036144</v>
      </c>
      <c r="M30" s="268">
        <f t="shared" si="21"/>
        <v>23.521600451803089</v>
      </c>
      <c r="N30" s="514">
        <f t="shared" si="22"/>
        <v>6.7728102971831099</v>
      </c>
      <c r="O30" s="515">
        <f t="shared" si="22"/>
        <v>10.1044578313253</v>
      </c>
      <c r="P30" s="268">
        <f t="shared" si="22"/>
        <v>16.877268128508412</v>
      </c>
      <c r="Q30" s="514">
        <v>0</v>
      </c>
      <c r="R30" s="515">
        <f t="shared" si="2"/>
        <v>12.394152537333387</v>
      </c>
      <c r="S30" s="268">
        <f t="shared" si="3"/>
        <v>12.394152537333387</v>
      </c>
      <c r="T30" s="514">
        <v>0</v>
      </c>
      <c r="U30" s="515">
        <f t="shared" si="4"/>
        <v>12.394152537333385</v>
      </c>
      <c r="V30" s="268">
        <f t="shared" si="13"/>
        <v>12.394152537333385</v>
      </c>
      <c r="W30" s="263"/>
      <c r="Y30" s="516" t="str">
        <f t="shared" si="5"/>
        <v>Vacant</v>
      </c>
      <c r="Z30" s="517">
        <f t="shared" si="6"/>
        <v>1.4992678283171641</v>
      </c>
      <c r="AA30" s="518">
        <f t="shared" si="7"/>
        <v>0.71554030250690404</v>
      </c>
      <c r="AB30" s="519">
        <f t="shared" si="8"/>
        <v>3.3409449510939958E-2</v>
      </c>
      <c r="AC30" s="520">
        <f t="shared" si="25"/>
        <v>0.90783552034539539</v>
      </c>
      <c r="AD30" s="521">
        <f t="shared" si="25"/>
        <v>8.2532520646101855</v>
      </c>
      <c r="AE30" s="522">
        <f t="shared" si="23"/>
        <v>8.091131465609708</v>
      </c>
      <c r="AF30" s="523">
        <f t="shared" si="24"/>
        <v>5.0110001419419534</v>
      </c>
      <c r="AG30" s="523">
        <f t="shared" si="12"/>
        <v>1.084544852425563</v>
      </c>
      <c r="AJ30" s="524"/>
      <c r="AK30" s="524">
        <f t="shared" si="14"/>
        <v>23.521600451803089</v>
      </c>
      <c r="AL30" s="524">
        <f t="shared" si="15"/>
        <v>16.877268128508412</v>
      </c>
      <c r="AM30" s="524">
        <f t="shared" si="16"/>
        <v>12.394152537333387</v>
      </c>
      <c r="AN30" s="524">
        <f t="shared" si="17"/>
        <v>12.394152537333385</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Santa Monica</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26">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442</v>
      </c>
      <c r="C36" s="525">
        <f t="shared" ref="C36:C54" si="27">F12</f>
        <v>571840</v>
      </c>
      <c r="D36" s="526" t="b">
        <f t="shared" ref="D36:D54" si="28">E12&gt;=D$34+0</f>
        <v>0</v>
      </c>
      <c r="E36" s="526" t="str">
        <f t="shared" ref="E36:E54" si="29">IF(D36=TRUE,"City","CBECS")</f>
        <v>CBECS</v>
      </c>
      <c r="F36" s="617">
        <f t="shared" ref="F36:F54" si="30">G36+H36</f>
        <v>45.393699376023079</v>
      </c>
      <c r="G36" s="531">
        <f>IF(D36,D12,'Typology Baseline - climate adj'!H36*$I$57+'Typology Baseline - climate adj'!I36)</f>
        <v>16.273285449490267</v>
      </c>
      <c r="H36" s="531">
        <f>IF(D36,C12,SUM('Typology Baseline - climate adj'!C36*$K$57*$K$58*G12,'Typology Baseline - climate adj'!$D36*H12,'Typology Baseline - climate adj'!$E36:$F36))</f>
        <v>29.120413926532812</v>
      </c>
      <c r="I36" s="531">
        <f>'Typology Baseline - climate adj'!H36*$I$57/'Typology Baseline - climate adj'!G36*G36</f>
        <v>5.0782378377307609</v>
      </c>
      <c r="J36" s="531">
        <f t="shared" ref="J36:J54" si="31">G36-I36</f>
        <v>11.195047611759506</v>
      </c>
      <c r="K36" s="531">
        <f>IF(G12,'Typology Baseline - climate adj'!C36*$K$57*$K$58*H36/SUM('Typology Baseline - climate adj'!C36*$K$57*$K$58,'Typology Baseline - climate adj'!D36*H12,'Typology Baseline - climate adj'!$E36:$F36),0)</f>
        <v>8.9677708082281047</v>
      </c>
      <c r="L36" s="531">
        <f>IF(H12,($H36-$K36)/SUM('Typology Baseline - climate adj'!$D36:$F36)*'Typology Baseline - climate adj'!D36,0)</f>
        <v>17.7670520940854</v>
      </c>
      <c r="M36" s="531">
        <f>IF('Typology Baseline - climate adj'!E36=0,0,($H36-$K36-$L36)/SUM('Typology Baseline - climate adj'!$E36:$F36)*'Typology Baseline - climate adj'!E36)</f>
        <v>2.385591024219309</v>
      </c>
      <c r="N36" s="618">
        <f>IF('Typology Baseline - climate adj'!F36=0,0,($H36-$K36-$L36)/SUM('Typology Baseline - climate adj'!$E36:$F36)*'Typology Baseline - climate adj'!F36)</f>
        <v>0</v>
      </c>
      <c r="O36" s="612"/>
      <c r="P36" s="526"/>
      <c r="Q36" s="525">
        <f t="shared" ref="Q36:Q54" si="32">K36*(1-G$4)</f>
        <v>6.2774395657596731</v>
      </c>
      <c r="R36" s="525">
        <f t="shared" ref="R36:R54" si="33">L36*(1-G$5)</f>
        <v>17.7670520940854</v>
      </c>
      <c r="S36" s="525">
        <f t="shared" ref="S36:S54" si="34">M36*(1-G$6)</f>
        <v>2.385591024219309</v>
      </c>
      <c r="T36" s="525">
        <f t="shared" ref="T36:T54" si="35">N36*(1-G$7)</f>
        <v>0</v>
      </c>
      <c r="U36" s="526"/>
      <c r="V36" s="525">
        <f t="shared" ref="V36:V38" si="36">SUM(Q36:T36)</f>
        <v>26.430082684064381</v>
      </c>
      <c r="W36" s="533">
        <f t="shared" ref="W36:W54" si="37">G36*(1-$G$3)</f>
        <v>11.391299814643187</v>
      </c>
      <c r="X36" s="533">
        <f t="shared" ref="X36:X38" si="38">W36+V36</f>
        <v>37.821382498707564</v>
      </c>
      <c r="Y36" s="526"/>
      <c r="Z36" s="525">
        <f>SUMPRODUCT(Q36:T36,'Electrification of Gas End Uses'!$D$4:$G$4)</f>
        <v>10.730426437679483</v>
      </c>
      <c r="AA36" s="533">
        <f t="shared" ref="AA36:AA38" si="39">W36</f>
        <v>11.391299814643187</v>
      </c>
      <c r="AB36" s="533">
        <f t="shared" ref="AB36:AB38" si="40">AA36+Z36</f>
        <v>22.12172625232267</v>
      </c>
      <c r="AD36" s="525">
        <f t="shared" ref="AD36:AD38" si="41">IF($AD$59&lt;Q36,$AD$59,Q36)</f>
        <v>6.2774395657596731</v>
      </c>
      <c r="AE36" s="538">
        <f t="shared" ref="AE36:AF51" si="42">R36</f>
        <v>17.7670520940854</v>
      </c>
      <c r="AF36" s="538">
        <f t="shared" si="42"/>
        <v>2.385591024219309</v>
      </c>
      <c r="AG36" s="538">
        <f t="shared" si="26"/>
        <v>0</v>
      </c>
      <c r="AH36" s="538">
        <f t="shared" ref="AH36:AH54" si="43">J36*(1-$G$3)</f>
        <v>7.8365333282316536</v>
      </c>
      <c r="AI36" s="539">
        <f t="shared" ref="AI36:AI54" si="44">IF(AND(AP36&gt;I36*0.7,AP36&lt;I36),AP36,I36*0.7)</f>
        <v>3.5547664864115323</v>
      </c>
      <c r="AJ36" s="525">
        <f>SUMPRODUCT(AD36:AG36,'Electrification of Gas End Uses'!$D$4:$G$4)</f>
        <v>10.730426437679483</v>
      </c>
      <c r="AK36" s="533">
        <f t="shared" ref="AK36:AK38" si="45">SUM(AH36:AI36)</f>
        <v>11.391299814643187</v>
      </c>
      <c r="AL36" s="533">
        <f t="shared" ref="AL36:AL54" si="46">AK36+AJ36</f>
        <v>22.12172625232267</v>
      </c>
      <c r="AN36" s="534">
        <f>SUMPRODUCT(K36:N36,'Electrification of Gas End Uses'!$D$5:$G$5)</f>
        <v>4.5419589953840038</v>
      </c>
      <c r="AO36" s="521">
        <f>SUMPRODUCT(K36:N36,'Electrification of Gas End Uses'!$D$6:$G$6)</f>
        <v>15.040182446706559</v>
      </c>
      <c r="AP36" s="540">
        <f>(AH$57+IF(AH36&gt;(AH$60),AH36-AH$60,0))*(1+$AH$59)/'Electrification of Gas End Uses'!$D$12</f>
        <v>2.6869333312926611</v>
      </c>
      <c r="AQ36" s="541">
        <f t="shared" ref="AQ36:AQ54" si="47">1-AI36/(I36*(1-$G$3))</f>
        <v>0</v>
      </c>
    </row>
    <row r="37" spans="1:43" ht="14.25" x14ac:dyDescent="0.2">
      <c r="B37" s="367" t="s">
        <v>440</v>
      </c>
      <c r="C37" s="525">
        <f t="shared" si="27"/>
        <v>309734</v>
      </c>
      <c r="D37" s="526" t="b">
        <f t="shared" si="28"/>
        <v>0</v>
      </c>
      <c r="E37" s="526" t="str">
        <f t="shared" si="29"/>
        <v>CBECS</v>
      </c>
      <c r="F37" s="617">
        <f t="shared" si="30"/>
        <v>45.824468031921391</v>
      </c>
      <c r="G37" s="531">
        <f>IF(D37,D13,'Typology Baseline - climate adj'!H37*$I$57+'Typology Baseline - climate adj'!I37)</f>
        <v>14.414323962516733</v>
      </c>
      <c r="H37" s="531">
        <f>IF(D37,C13,SUM('Typology Baseline - climate adj'!C37*$K$57*$K$58*G13,'Typology Baseline - climate adj'!$D37*H13,'Typology Baseline - climate adj'!$E37:$F37))</f>
        <v>31.410144069404659</v>
      </c>
      <c r="I37" s="531">
        <f>'Typology Baseline - climate adj'!H37*$I$57/'Typology Baseline - climate adj'!G37*G37</f>
        <v>4.1085004154652216</v>
      </c>
      <c r="J37" s="531">
        <f t="shared" si="31"/>
        <v>10.30582354705151</v>
      </c>
      <c r="K37" s="531">
        <f>IF(G13,'Typology Baseline - climate adj'!C37*$K$57*$K$58*H37/SUM('Typology Baseline - climate adj'!C37*$K$57*$K$58,'Typology Baseline - climate adj'!$D37:$F37),0)</f>
        <v>11.257500951099951</v>
      </c>
      <c r="L37" s="531">
        <f>IF(H13,($H37-$K37)/SUM('Typology Baseline - climate adj'!$D37:$F37)*'Typology Baseline - climate adj'!D37,0)</f>
        <v>17.7670520940854</v>
      </c>
      <c r="M37" s="531">
        <f>IF('Typology Baseline - climate adj'!E37=0,0,($H37-$K37-$L37)/SUM('Typology Baseline - climate adj'!$E37:$F37)*'Typology Baseline - climate adj'!E37)</f>
        <v>2.385591024219309</v>
      </c>
      <c r="N37" s="618">
        <f>IF('Typology Baseline - climate adj'!F37=0,0,($H37-$K37-$L37)/SUM('Typology Baseline - climate adj'!$E37:$F37)*'Typology Baseline - climate adj'!F37)</f>
        <v>0</v>
      </c>
      <c r="O37" s="612"/>
      <c r="P37" s="526"/>
      <c r="Q37" s="525">
        <f t="shared" si="32"/>
        <v>7.8802506657699656</v>
      </c>
      <c r="R37" s="525">
        <f t="shared" si="33"/>
        <v>17.7670520940854</v>
      </c>
      <c r="S37" s="525">
        <f t="shared" si="34"/>
        <v>2.385591024219309</v>
      </c>
      <c r="T37" s="525">
        <f t="shared" si="35"/>
        <v>0</v>
      </c>
      <c r="U37" s="526"/>
      <c r="V37" s="525">
        <f t="shared" si="36"/>
        <v>28.032893784074673</v>
      </c>
      <c r="W37" s="533">
        <f t="shared" si="37"/>
        <v>10.090026773761712</v>
      </c>
      <c r="X37" s="533">
        <f t="shared" si="38"/>
        <v>38.122920557836387</v>
      </c>
      <c r="Y37" s="526"/>
      <c r="Z37" s="525">
        <f>SUMPRODUCT(Q37:T37,'Electrification of Gas End Uses'!$D$4:$G$4)</f>
        <v>11.243325989682777</v>
      </c>
      <c r="AA37" s="533">
        <f t="shared" si="39"/>
        <v>10.090026773761712</v>
      </c>
      <c r="AB37" s="533">
        <f t="shared" si="40"/>
        <v>21.333352763444488</v>
      </c>
      <c r="AD37" s="525">
        <f t="shared" si="41"/>
        <v>7.8802506657699656</v>
      </c>
      <c r="AE37" s="538">
        <f t="shared" si="42"/>
        <v>17.7670520940854</v>
      </c>
      <c r="AF37" s="538">
        <f t="shared" si="42"/>
        <v>2.385591024219309</v>
      </c>
      <c r="AG37" s="538">
        <f t="shared" si="26"/>
        <v>0</v>
      </c>
      <c r="AH37" s="538">
        <f t="shared" si="43"/>
        <v>7.2140764829360569</v>
      </c>
      <c r="AI37" s="539">
        <f t="shared" si="44"/>
        <v>2.8759502908256551</v>
      </c>
      <c r="AJ37" s="525">
        <f>SUMPRODUCT(AD37:AG37,'Electrification of Gas End Uses'!$D$4:$G$4)</f>
        <v>11.243325989682777</v>
      </c>
      <c r="AK37" s="533">
        <f t="shared" si="45"/>
        <v>10.090026773761712</v>
      </c>
      <c r="AL37" s="533">
        <f t="shared" si="46"/>
        <v>21.333352763444488</v>
      </c>
      <c r="AN37" s="534">
        <f>SUMPRODUCT(K37:N37,'Electrification of Gas End Uses'!$D$5:$G$5)</f>
        <v>4.7691451522575763</v>
      </c>
      <c r="AO37" s="521">
        <f>SUMPRODUCT(K37:N37,'Electrification of Gas End Uses'!$D$6:$G$6)</f>
        <v>17.396520241947616</v>
      </c>
      <c r="AP37" s="540">
        <f>(AH$57+IF(AH37&gt;(AH$60),AH37-AH$60,0))*(1+$AH$59)/'Electrification of Gas End Uses'!$D$12</f>
        <v>2.4379505931744223</v>
      </c>
      <c r="AQ37" s="541">
        <f t="shared" si="47"/>
        <v>0</v>
      </c>
    </row>
    <row r="38" spans="1:43" ht="14.25" x14ac:dyDescent="0.2">
      <c r="B38" s="367" t="s">
        <v>444</v>
      </c>
      <c r="C38" s="525">
        <f t="shared" si="27"/>
        <v>357213</v>
      </c>
      <c r="D38" s="526" t="b">
        <f t="shared" si="28"/>
        <v>0</v>
      </c>
      <c r="E38" s="526" t="str">
        <f t="shared" si="29"/>
        <v>CBECS</v>
      </c>
      <c r="F38" s="617">
        <f t="shared" si="30"/>
        <v>42.504156812221723</v>
      </c>
      <c r="G38" s="531">
        <f>IF(D38,D14,'Typology Baseline - climate adj'!H38*$I$57+'Typology Baseline - climate adj'!I38)</f>
        <v>16.389716949982869</v>
      </c>
      <c r="H38" s="531">
        <f>IF(D38,C14,SUM('Typology Baseline - climate adj'!C38*$K$57*$K$58*G14,'Typology Baseline - climate adj'!$D38*H14,'Typology Baseline - climate adj'!$E38:$F38))</f>
        <v>26.114439862238854</v>
      </c>
      <c r="I38" s="531">
        <f>'Typology Baseline - climate adj'!H38*$I$57/'Typology Baseline - climate adj'!G38*G38</f>
        <v>4.2951338281657083</v>
      </c>
      <c r="J38" s="531">
        <f t="shared" si="31"/>
        <v>12.094583121817161</v>
      </c>
      <c r="K38" s="531">
        <f>IF(G14,'Typology Baseline - climate adj'!C38*$K$57*$K$58*H38/SUM('Typology Baseline - climate adj'!C38*$K$57*$K$58,'Typology Baseline - climate adj'!$D38:$F38),0)</f>
        <v>8.6268545580469596</v>
      </c>
      <c r="L38" s="531">
        <f>IF(H14,($H38-$K38)/SUM('Typology Baseline - climate adj'!$D38:$F38)*'Typology Baseline - climate adj'!D38,0)</f>
        <v>15.101994279972587</v>
      </c>
      <c r="M38" s="531">
        <f>IF('Typology Baseline - climate adj'!E38=0,0,($H38-$K38-$L38)/SUM('Typology Baseline - climate adj'!$E38:$F38)*'Typology Baseline - climate adj'!E38)</f>
        <v>2.385591024219309</v>
      </c>
      <c r="N38" s="618">
        <f>IF('Typology Baseline - climate adj'!F38=0,0,($H38-$K38-$L38)/SUM('Typology Baseline - climate adj'!$E38:$F38)*'Typology Baseline - climate adj'!F38)</f>
        <v>0</v>
      </c>
      <c r="O38" s="612"/>
      <c r="P38" s="526"/>
      <c r="Q38" s="525">
        <f t="shared" si="32"/>
        <v>6.0387981906328712</v>
      </c>
      <c r="R38" s="525">
        <f t="shared" si="33"/>
        <v>15.101994279972587</v>
      </c>
      <c r="S38" s="525">
        <f t="shared" si="34"/>
        <v>2.385591024219309</v>
      </c>
      <c r="T38" s="525">
        <f t="shared" si="35"/>
        <v>0</v>
      </c>
      <c r="U38" s="526"/>
      <c r="V38" s="525">
        <f t="shared" si="36"/>
        <v>23.526383494824767</v>
      </c>
      <c r="W38" s="533">
        <f t="shared" si="37"/>
        <v>11.472801864988007</v>
      </c>
      <c r="X38" s="533">
        <f t="shared" si="38"/>
        <v>34.99918535981277</v>
      </c>
      <c r="Y38" s="526"/>
      <c r="Z38" s="525">
        <f>SUMPRODUCT(Q38:T38,'Electrification of Gas End Uses'!$D$4:$G$4)</f>
        <v>9.5638102736836661</v>
      </c>
      <c r="AA38" s="533">
        <f t="shared" si="39"/>
        <v>11.472801864988007</v>
      </c>
      <c r="AB38" s="533">
        <f t="shared" si="40"/>
        <v>21.036612138671671</v>
      </c>
      <c r="AD38" s="525">
        <f t="shared" si="41"/>
        <v>6.0387981906328712</v>
      </c>
      <c r="AE38" s="538">
        <f t="shared" si="42"/>
        <v>15.101994279972587</v>
      </c>
      <c r="AF38" s="538">
        <f t="shared" si="42"/>
        <v>2.385591024219309</v>
      </c>
      <c r="AG38" s="538">
        <f t="shared" si="26"/>
        <v>0</v>
      </c>
      <c r="AH38" s="538">
        <f t="shared" si="43"/>
        <v>8.4662081852720128</v>
      </c>
      <c r="AI38" s="539">
        <f t="shared" si="44"/>
        <v>3.0065936797159956</v>
      </c>
      <c r="AJ38" s="525">
        <f>SUMPRODUCT(AD38:AG38,'Electrification of Gas End Uses'!$D$4:$G$4)</f>
        <v>9.5638102736836661</v>
      </c>
      <c r="AK38" s="533">
        <f t="shared" si="45"/>
        <v>11.472801864988009</v>
      </c>
      <c r="AL38" s="533">
        <f t="shared" si="46"/>
        <v>21.036612138671675</v>
      </c>
      <c r="AN38" s="534">
        <f>SUMPRODUCT(K38:N38,'Electrification of Gas End Uses'!$D$5:$G$5)</f>
        <v>4.2315627868509633</v>
      </c>
      <c r="AO38" s="521">
        <f>SUMPRODUCT(K38:N38,'Electrification of Gas End Uses'!$D$6:$G$6)</f>
        <v>14.076243976126726</v>
      </c>
      <c r="AP38" s="540">
        <f>(AH$57+IF(AH38&gt;(AH$60),AH38-AH$60,0))*(1+$AH$59)/'Electrification of Gas End Uses'!$D$12</f>
        <v>2.9388032741088046</v>
      </c>
      <c r="AQ38" s="541">
        <f t="shared" si="47"/>
        <v>0</v>
      </c>
    </row>
    <row r="39" spans="1:43" ht="14.25" x14ac:dyDescent="0.2">
      <c r="B39" s="367" t="str">
        <f>'Typology Baseline - climate adj'!A39</f>
        <v>Education</v>
      </c>
      <c r="C39" s="525">
        <f t="shared" si="27"/>
        <v>1145724</v>
      </c>
      <c r="D39" s="526" t="b">
        <f t="shared" si="28"/>
        <v>0</v>
      </c>
      <c r="E39" s="526" t="str">
        <f t="shared" si="29"/>
        <v>CBECS</v>
      </c>
      <c r="F39" s="617">
        <f t="shared" si="30"/>
        <v>61.470207840354078</v>
      </c>
      <c r="G39" s="531">
        <f>IF(D39,D15,'Typology Baseline - climate adj'!H39*$I$57+'Typology Baseline - climate adj'!I39)</f>
        <v>33.387951807228916</v>
      </c>
      <c r="H39" s="531">
        <f>IF(D39,C15,SUM('Typology Baseline - climate adj'!C39*$K$57*$K$58*G15,'Typology Baseline - climate adj'!$D39*H15,'Typology Baseline - climate adj'!$E39:$F39))</f>
        <v>28.082256033125162</v>
      </c>
      <c r="I39" s="531">
        <f>'Typology Baseline - climate adj'!H39*$I$57/'Typology Baseline - climate adj'!G39*G39</f>
        <v>7.1705982236595593</v>
      </c>
      <c r="J39" s="531">
        <f t="shared" si="31"/>
        <v>26.217353583569356</v>
      </c>
      <c r="K39" s="531">
        <f>IF(G15,'Typology Baseline - climate adj'!C39*$K$57*H39/SUM('Typology Baseline - climate adj'!C39*$K$57,'Typology Baseline - climate adj'!$D39:$F39),0)</f>
        <v>13.838553838674095</v>
      </c>
      <c r="L39" s="531">
        <f>IF(H15,($H39-$K39)/SUM('Typology Baseline - climate adj'!$D39:$F39)*'Typology Baseline - climate adj'!D39,0)</f>
        <v>6.9240219000803798</v>
      </c>
      <c r="M39" s="531">
        <f>IF('Typology Baseline - climate adj'!E39=0,0,($H39-$K39-$L39)/SUM('Typology Baseline - climate adj'!$E39:$F39)*'Typology Baseline - climate adj'!E39)</f>
        <v>1.7804627743063837</v>
      </c>
      <c r="N39" s="618">
        <f>IF('Typology Baseline - climate adj'!F39=0,0,($H39-$K39-$L39)/SUM('Typology Baseline - climate adj'!$E39:$F39)*'Typology Baseline - climate adj'!F39)</f>
        <v>5.5392175200643043</v>
      </c>
      <c r="O39" s="612"/>
      <c r="P39" s="526"/>
      <c r="Q39" s="525">
        <f t="shared" si="32"/>
        <v>9.6869876870718663</v>
      </c>
      <c r="R39" s="525">
        <f t="shared" si="33"/>
        <v>6.9240219000803798</v>
      </c>
      <c r="S39" s="525">
        <f t="shared" si="34"/>
        <v>1.7804627743063837</v>
      </c>
      <c r="T39" s="525">
        <f t="shared" si="35"/>
        <v>5.5392175200643043</v>
      </c>
      <c r="U39" s="525"/>
      <c r="V39" s="525">
        <f t="shared" ref="V39:V54" si="48">SUM(Q39:T39)</f>
        <v>23.930689881522934</v>
      </c>
      <c r="W39" s="533">
        <f t="shared" si="37"/>
        <v>23.371566265060238</v>
      </c>
      <c r="X39" s="533">
        <f>W39+V39</f>
        <v>47.302256146583176</v>
      </c>
      <c r="Y39" s="526"/>
      <c r="Z39" s="525">
        <f>SUMPRODUCT(Q39:T39,'Electrification of Gas End Uses'!$D$4:$G$4)</f>
        <v>11.922007525853854</v>
      </c>
      <c r="AA39" s="533">
        <f>W39</f>
        <v>23.371566265060238</v>
      </c>
      <c r="AB39" s="533">
        <f>AA39+Z39</f>
        <v>35.293573790914095</v>
      </c>
      <c r="AD39" s="525">
        <f t="shared" ref="AD39:AD54" si="49">IF($AD$59&lt;Q39,$AD$59,Q39)</f>
        <v>9.6869876870718663</v>
      </c>
      <c r="AE39" s="538">
        <f>R39</f>
        <v>6.9240219000803798</v>
      </c>
      <c r="AF39" s="538">
        <f t="shared" si="42"/>
        <v>1.7804627743063837</v>
      </c>
      <c r="AG39" s="538">
        <f t="shared" si="26"/>
        <v>5.5392175200643043</v>
      </c>
      <c r="AH39" s="538">
        <f t="shared" si="43"/>
        <v>18.352147508498547</v>
      </c>
      <c r="AI39" s="539">
        <f t="shared" si="44"/>
        <v>6.8931790033994194</v>
      </c>
      <c r="AJ39" s="525">
        <f>SUMPRODUCT(AD39:AG39,'Electrification of Gas End Uses'!$D$4:$G$4)</f>
        <v>11.922007525853854</v>
      </c>
      <c r="AK39" s="533">
        <f>SUM(AH39:AI39)</f>
        <v>25.245326511897964</v>
      </c>
      <c r="AL39" s="533">
        <f t="shared" si="46"/>
        <v>37.167334037751814</v>
      </c>
      <c r="AN39" s="534">
        <f>SUMPRODUCT(K39:N39,'Electrification of Gas End Uses'!$D$5:$G$5)</f>
        <v>6.985519748179982</v>
      </c>
      <c r="AO39" s="521">
        <f>SUMPRODUCT(K39:N39,'Electrification of Gas End Uses'!$D$6:$G$6)</f>
        <v>20.428635527348749</v>
      </c>
      <c r="AP39" s="540">
        <f>(AH$57+IF(AH39&gt;(AH$60),AH39-AH$60,0))*(1+$AH$59)/'Electrification of Gas End Uses'!$D$12</f>
        <v>6.8931790033994194</v>
      </c>
      <c r="AQ39" s="541">
        <f t="shared" si="47"/>
        <v>-0.37330223631734927</v>
      </c>
    </row>
    <row r="40" spans="1:43" ht="14.25" x14ac:dyDescent="0.2">
      <c r="B40" s="367" t="str">
        <f>'Typology Baseline - climate adj'!A40</f>
        <v>Food sales</v>
      </c>
      <c r="C40" s="525">
        <f t="shared" si="27"/>
        <v>0</v>
      </c>
      <c r="D40" s="526" t="b">
        <f t="shared" si="28"/>
        <v>0</v>
      </c>
      <c r="E40" s="526" t="str">
        <f t="shared" si="29"/>
        <v>CBECS</v>
      </c>
      <c r="F40" s="617">
        <f t="shared" si="30"/>
        <v>207.95027298291976</v>
      </c>
      <c r="G40" s="531">
        <f>IF(D40,D16,'Typology Baseline - climate adj'!H40*$I$57+'Typology Baseline - climate adj'!I40)</f>
        <v>148.56144578313251</v>
      </c>
      <c r="H40" s="531">
        <f>IF(D40,C16,SUM('Typology Baseline - climate adj'!C40*$K$57*$K$58*G16,'Typology Baseline - climate adj'!$D40*H16,'Typology Baseline - climate adj'!$E40:$F40))</f>
        <v>59.388827199787251</v>
      </c>
      <c r="I40" s="531">
        <f>'Typology Baseline - climate adj'!H40*$I$57/'Typology Baseline - climate adj'!G40*G40</f>
        <v>4.6414954757496991</v>
      </c>
      <c r="J40" s="531">
        <f t="shared" si="31"/>
        <v>143.91995030738281</v>
      </c>
      <c r="K40" s="531">
        <f>IF(G16,'Typology Baseline - climate adj'!C40*$K$57*H40/SUM('Typology Baseline - climate adj'!C40*$K$57,'Typology Baseline - climate adj'!$D40:$F40),0)</f>
        <v>22.499238617888814</v>
      </c>
      <c r="L40" s="531">
        <f>IF(H16,($H40-$K40)/SUM('Typology Baseline - climate adj'!$D40:$F40)*'Typology Baseline - climate adj'!D40,0)</f>
        <v>4.3632846709772348</v>
      </c>
      <c r="M40" s="531">
        <f>IF('Typology Baseline - climate adj'!E40=0,0,($H40-$K40-$L40)/SUM('Typology Baseline - climate adj'!$E40:$F40)*'Typology Baseline - climate adj'!E40)</f>
        <v>32.5263039109212</v>
      </c>
      <c r="N40" s="618">
        <f>IF('Typology Baseline - climate adj'!F40=0,0,($H40-$K40-$L40)/SUM('Typology Baseline - climate adj'!$E40:$F40)*'Typology Baseline - climate adj'!F40)</f>
        <v>0</v>
      </c>
      <c r="O40" s="612"/>
      <c r="P40" s="526"/>
      <c r="Q40" s="525">
        <f t="shared" si="32"/>
        <v>15.749467032522169</v>
      </c>
      <c r="R40" s="525">
        <f t="shared" si="33"/>
        <v>4.3632846709772348</v>
      </c>
      <c r="S40" s="525">
        <f t="shared" si="34"/>
        <v>32.5263039109212</v>
      </c>
      <c r="T40" s="525">
        <f t="shared" si="35"/>
        <v>0</v>
      </c>
      <c r="U40" s="525"/>
      <c r="V40" s="525">
        <f t="shared" si="48"/>
        <v>52.639055614420606</v>
      </c>
      <c r="W40" s="533">
        <f t="shared" si="37"/>
        <v>103.99301204819275</v>
      </c>
      <c r="X40" s="533">
        <f t="shared" ref="X40:X54" si="50">W40+V40</f>
        <v>156.63206766261337</v>
      </c>
      <c r="Y40" s="526"/>
      <c r="Z40" s="525">
        <f>SUMPRODUCT(Q40:T40,'Electrification of Gas End Uses'!$D$4:$G$4)</f>
        <v>26.639891581939025</v>
      </c>
      <c r="AA40" s="533">
        <f t="shared" ref="AA40:AA54" si="51">W40</f>
        <v>103.99301204819275</v>
      </c>
      <c r="AB40" s="533">
        <f t="shared" ref="AB40:AB54" si="52">AA40+Z40</f>
        <v>130.63290363013178</v>
      </c>
      <c r="AD40" s="525">
        <f t="shared" si="49"/>
        <v>9.8999999999999986</v>
      </c>
      <c r="AE40" s="538">
        <f t="shared" ref="AE40:AF54" si="53">R40</f>
        <v>4.3632846709772348</v>
      </c>
      <c r="AF40" s="538">
        <f t="shared" si="42"/>
        <v>32.5263039109212</v>
      </c>
      <c r="AG40" s="538">
        <f t="shared" si="26"/>
        <v>0</v>
      </c>
      <c r="AH40" s="538">
        <f t="shared" si="43"/>
        <v>100.74396521516796</v>
      </c>
      <c r="AI40" s="539">
        <f t="shared" si="44"/>
        <v>3.249046833024789</v>
      </c>
      <c r="AJ40" s="525">
        <f>SUMPRODUCT(AD40:AG40,'Electrification of Gas End Uses'!$D$4:$G$4)</f>
        <v>24.768062131531931</v>
      </c>
      <c r="AK40" s="533">
        <f t="shared" ref="AK40:AK54" si="54">SUM(AH40:AI40)</f>
        <v>103.99301204819275</v>
      </c>
      <c r="AL40" s="533">
        <f t="shared" si="46"/>
        <v>128.76107417972469</v>
      </c>
      <c r="AN40" s="534">
        <f>SUMPRODUCT(K40:N40,'Electrification of Gas End Uses'!$D$5:$G$5)</f>
        <v>27.34144724426854</v>
      </c>
      <c r="AO40" s="521">
        <f>SUMPRODUCT(K40:N40,'Electrification of Gas End Uses'!$D$6:$G$6)</f>
        <v>47.665753545023115</v>
      </c>
      <c r="AP40" s="540">
        <f>(AH$57+IF(AH40&gt;(AH$60),AH40-AH$60,0))*(1+$AH$59)/'Electrification of Gas End Uses'!$D$12</f>
        <v>39.849906086067179</v>
      </c>
      <c r="AQ40" s="541">
        <f t="shared" si="47"/>
        <v>0</v>
      </c>
    </row>
    <row r="41" spans="1:43" ht="14.25" x14ac:dyDescent="0.2">
      <c r="B41" s="367" t="str">
        <f>'Typology Baseline - climate adj'!A41</f>
        <v>Food service</v>
      </c>
      <c r="C41" s="525">
        <f t="shared" si="27"/>
        <v>2715789</v>
      </c>
      <c r="D41" s="526" t="b">
        <f t="shared" si="28"/>
        <v>0</v>
      </c>
      <c r="E41" s="526" t="str">
        <f t="shared" si="29"/>
        <v>CBECS</v>
      </c>
      <c r="F41" s="617">
        <f t="shared" si="30"/>
        <v>265.35442287147657</v>
      </c>
      <c r="G41" s="531">
        <f>IF(D41,D17,'Typology Baseline - climate adj'!H41*$I$57+'Typology Baseline - climate adj'!I41)</f>
        <v>88.231325301204805</v>
      </c>
      <c r="H41" s="531">
        <f>IF(D41,C17,SUM('Typology Baseline - climate adj'!C41*$K$57*$K$58*G17,'Typology Baseline - climate adj'!$D41*H17,'Typology Baseline - climate adj'!$E41:$F41))</f>
        <v>177.12309757027174</v>
      </c>
      <c r="I41" s="531">
        <f>'Typology Baseline - climate adj'!H41*$I$57/'Typology Baseline - climate adj'!G41*G41</f>
        <v>15.45153553760837</v>
      </c>
      <c r="J41" s="531">
        <f t="shared" si="31"/>
        <v>72.77978976359644</v>
      </c>
      <c r="K41" s="531">
        <f>IF(G17,'Typology Baseline - climate adj'!C41*$K$57*H41/SUM('Typology Baseline - climate adj'!C41*$K$57,'Typology Baseline - climate adj'!$D41:$F41),0)</f>
        <v>17.776116737778143</v>
      </c>
      <c r="L41" s="531">
        <f>IF(H17,($H41-$K41)/SUM('Typology Baseline - climate adj'!$D41:$F41)*'Typology Baseline - climate adj'!D41,0)</f>
        <v>39.113347831144331</v>
      </c>
      <c r="M41" s="531">
        <f>IF('Typology Baseline - climate adj'!E41=0,0,($H41-$K41-$L41)/SUM('Typology Baseline - climate adj'!$E41:$F41)*'Typology Baseline - climate adj'!E41)</f>
        <v>120.23363300134926</v>
      </c>
      <c r="N41" s="618">
        <f>IF('Typology Baseline - climate adj'!F41=0,0,($H41-$K41-$L41)/SUM('Typology Baseline - climate adj'!$E41:$F41)*'Typology Baseline - climate adj'!F41)</f>
        <v>0</v>
      </c>
      <c r="O41" s="612"/>
      <c r="P41" s="526"/>
      <c r="Q41" s="525">
        <f t="shared" si="32"/>
        <v>12.4432817164447</v>
      </c>
      <c r="R41" s="525">
        <f t="shared" si="33"/>
        <v>39.113347831144331</v>
      </c>
      <c r="S41" s="525">
        <f t="shared" si="34"/>
        <v>120.23363300134926</v>
      </c>
      <c r="T41" s="525">
        <f t="shared" si="35"/>
        <v>0</v>
      </c>
      <c r="U41" s="525"/>
      <c r="V41" s="525">
        <f t="shared" si="48"/>
        <v>171.7902625489383</v>
      </c>
      <c r="W41" s="533">
        <f t="shared" si="37"/>
        <v>61.761927710843359</v>
      </c>
      <c r="X41" s="533">
        <f t="shared" si="50"/>
        <v>233.55219025978167</v>
      </c>
      <c r="Y41" s="526"/>
      <c r="Z41" s="525">
        <f>SUMPRODUCT(Q41:T41,'Electrification of Gas End Uses'!$D$4:$G$4)</f>
        <v>93.229307670253078</v>
      </c>
      <c r="AA41" s="533">
        <f t="shared" si="51"/>
        <v>61.761927710843359</v>
      </c>
      <c r="AB41" s="533">
        <f t="shared" si="52"/>
        <v>154.99123538109643</v>
      </c>
      <c r="AD41" s="525">
        <f t="shared" si="49"/>
        <v>9.8999999999999986</v>
      </c>
      <c r="AE41" s="538">
        <f t="shared" si="53"/>
        <v>39.113347831144331</v>
      </c>
      <c r="AF41" s="538">
        <f t="shared" si="42"/>
        <v>120.23363300134926</v>
      </c>
      <c r="AG41" s="538">
        <f t="shared" si="26"/>
        <v>0</v>
      </c>
      <c r="AH41" s="538">
        <f t="shared" si="43"/>
        <v>50.945852834517503</v>
      </c>
      <c r="AI41" s="539">
        <f t="shared" si="44"/>
        <v>10.816074876325859</v>
      </c>
      <c r="AJ41" s="525">
        <f>SUMPRODUCT(AD41:AG41,'Electrification of Gas End Uses'!$D$4:$G$4)</f>
        <v>92.41545752099077</v>
      </c>
      <c r="AK41" s="533">
        <f t="shared" si="54"/>
        <v>61.761927710843359</v>
      </c>
      <c r="AL41" s="533">
        <f t="shared" si="46"/>
        <v>154.17738523183414</v>
      </c>
      <c r="AN41" s="534">
        <f>SUMPRODUCT(K41:N41,'Electrification of Gas End Uses'!$D$5:$G$5)</f>
        <v>96.9648224502359</v>
      </c>
      <c r="AO41" s="521">
        <f>SUMPRODUCT(K41:N41,'Electrification of Gas End Uses'!$D$6:$G$6)</f>
        <v>114.1896522851098</v>
      </c>
      <c r="AP41" s="540">
        <f>(AH$57+IF(AH41&gt;(AH$60),AH41-AH$60,0))*(1+$AH$59)/'Electrification of Gas End Uses'!$D$12</f>
        <v>19.930661133807</v>
      </c>
      <c r="AQ41" s="541">
        <f t="shared" si="47"/>
        <v>0</v>
      </c>
    </row>
    <row r="42" spans="1:43" ht="14.25" x14ac:dyDescent="0.2">
      <c r="B42" s="367" t="str">
        <f>'Typology Baseline - climate adj'!A42</f>
        <v>Health care Inpatient</v>
      </c>
      <c r="C42" s="525">
        <f t="shared" si="27"/>
        <v>1058111</v>
      </c>
      <c r="D42" s="526" t="b">
        <f t="shared" si="28"/>
        <v>0</v>
      </c>
      <c r="E42" s="526" t="str">
        <f t="shared" si="29"/>
        <v>CBECS</v>
      </c>
      <c r="F42" s="617">
        <f t="shared" si="30"/>
        <v>208.06672172086306</v>
      </c>
      <c r="G42" s="531">
        <f>IF(D42,D18,'Typology Baseline - climate adj'!H42*$I$57+'Typology Baseline - climate adj'!I42)</f>
        <v>94.143373493975901</v>
      </c>
      <c r="H42" s="531">
        <f>IF(D42,C18,SUM('Typology Baseline - climate adj'!C42*$K$57*$K$58*G18,'Typology Baseline - climate adj'!$D42*H18,'Typology Baseline - climate adj'!$E42:$F42))</f>
        <v>113.92334822688716</v>
      </c>
      <c r="I42" s="531">
        <f>'Typology Baseline - climate adj'!H42*$I$57/'Typology Baseline - climate adj'!G42*G42</f>
        <v>22.295795656778601</v>
      </c>
      <c r="J42" s="531">
        <f t="shared" si="31"/>
        <v>71.847577837197292</v>
      </c>
      <c r="K42" s="531">
        <f>IF(G18,'Typology Baseline - climate adj'!C42*$K$57*H42/SUM('Typology Baseline - climate adj'!C42*$K$57,'Typology Baseline - climate adj'!$D42:$F42),0)</f>
        <v>38.589628335292495</v>
      </c>
      <c r="L42" s="531">
        <f>IF(H18,($H42-$K42)/SUM('Typology Baseline - climate adj'!$D42:$F42)*'Typology Baseline - climate adj'!D42,0)</f>
        <v>34.04409212492353</v>
      </c>
      <c r="M42" s="531">
        <f>IF('Typology Baseline - climate adj'!E42=0,0,($H42-$K42-$L42)/SUM('Typology Baseline - climate adj'!$E42:$F42)*'Typology Baseline - climate adj'!E42)</f>
        <v>16.476149541508189</v>
      </c>
      <c r="N42" s="618">
        <f>IF('Typology Baseline - climate adj'!F42=0,0,($H42-$K42-$L42)/SUM('Typology Baseline - climate adj'!$E42:$F42)*'Typology Baseline - climate adj'!F42)</f>
        <v>24.813478225162935</v>
      </c>
      <c r="O42" s="612"/>
      <c r="P42" s="526"/>
      <c r="Q42" s="525">
        <f t="shared" si="32"/>
        <v>27.012739834704746</v>
      </c>
      <c r="R42" s="525">
        <f t="shared" si="33"/>
        <v>34.04409212492353</v>
      </c>
      <c r="S42" s="525">
        <f t="shared" si="34"/>
        <v>16.476149541508189</v>
      </c>
      <c r="T42" s="525">
        <f t="shared" si="35"/>
        <v>24.813478225162935</v>
      </c>
      <c r="U42" s="525"/>
      <c r="V42" s="525">
        <f t="shared" si="48"/>
        <v>102.3464597262994</v>
      </c>
      <c r="W42" s="533">
        <f t="shared" si="37"/>
        <v>65.900361445783133</v>
      </c>
      <c r="X42" s="533">
        <f t="shared" si="50"/>
        <v>168.24682117208255</v>
      </c>
      <c r="Y42" s="526"/>
      <c r="Z42" s="525">
        <f>SUMPRODUCT(Q42:T42,'Electrification of Gas End Uses'!$D$4:$G$4)</f>
        <v>54.580745130787435</v>
      </c>
      <c r="AA42" s="533">
        <f t="shared" si="51"/>
        <v>65.900361445783133</v>
      </c>
      <c r="AB42" s="533">
        <f t="shared" si="52"/>
        <v>120.48110657657057</v>
      </c>
      <c r="AD42" s="525">
        <f t="shared" si="49"/>
        <v>9.8999999999999986</v>
      </c>
      <c r="AE42" s="538">
        <f t="shared" si="53"/>
        <v>34.04409212492353</v>
      </c>
      <c r="AF42" s="538">
        <f t="shared" si="42"/>
        <v>16.476149541508189</v>
      </c>
      <c r="AG42" s="538">
        <f t="shared" si="26"/>
        <v>24.813478225162935</v>
      </c>
      <c r="AH42" s="538">
        <f t="shared" si="43"/>
        <v>50.293304486038103</v>
      </c>
      <c r="AI42" s="539">
        <f t="shared" si="44"/>
        <v>19.669641794415242</v>
      </c>
      <c r="AJ42" s="525">
        <f>SUMPRODUCT(AD42:AG42,'Electrification of Gas End Uses'!$D$4:$G$4)</f>
        <v>49.104668383681918</v>
      </c>
      <c r="AK42" s="533">
        <f t="shared" si="54"/>
        <v>69.962946280453338</v>
      </c>
      <c r="AL42" s="533">
        <f t="shared" si="46"/>
        <v>119.06761466413525</v>
      </c>
      <c r="AN42" s="534">
        <f>SUMPRODUCT(K42:N42,'Electrification of Gas End Uses'!$D$5:$G$5)</f>
        <v>35.728240934874059</v>
      </c>
      <c r="AO42" s="521">
        <f>SUMPRODUCT(K42:N42,'Electrification of Gas End Uses'!$D$6:$G$6)</f>
        <v>74.269854858179158</v>
      </c>
      <c r="AP42" s="540">
        <f>(AH$57+IF(AH42&gt;(AH$60),AH42-AH$60,0))*(1+$AH$59)/'Electrification of Gas End Uses'!$D$12</f>
        <v>19.669641794415242</v>
      </c>
      <c r="AQ42" s="541">
        <f t="shared" si="47"/>
        <v>-0.26030435111172912</v>
      </c>
    </row>
    <row r="43" spans="1:43" ht="14.25" x14ac:dyDescent="0.2">
      <c r="B43" s="367" t="str">
        <f>'Typology Baseline - climate adj'!A43</f>
        <v>Health care Outpatient</v>
      </c>
      <c r="C43" s="525">
        <f t="shared" si="27"/>
        <v>6317545</v>
      </c>
      <c r="D43" s="526" t="b">
        <f t="shared" si="28"/>
        <v>0</v>
      </c>
      <c r="E43" s="526" t="str">
        <f t="shared" si="29"/>
        <v>CBECS</v>
      </c>
      <c r="F43" s="617">
        <f t="shared" si="30"/>
        <v>82.465477868463111</v>
      </c>
      <c r="G43" s="531">
        <f>IF(D43,D19,'Typology Baseline - climate adj'!H43*$I$57+'Typology Baseline - climate adj'!I43)</f>
        <v>58.528915662650604</v>
      </c>
      <c r="H43" s="531">
        <f>IF(D43,C19,SUM('Typology Baseline - climate adj'!C43*$K$57*$K$58*G19,'Typology Baseline - climate adj'!$D43*H19,'Typology Baseline - climate adj'!$E43:$F43))</f>
        <v>23.936562205812507</v>
      </c>
      <c r="I43" s="531">
        <f>'Typology Baseline - climate adj'!H43*$I$57/'Typology Baseline - climate adj'!G43*G43</f>
        <v>5.5557222612386195</v>
      </c>
      <c r="J43" s="531">
        <f t="shared" si="31"/>
        <v>52.973193401411983</v>
      </c>
      <c r="K43" s="531">
        <f>IF(G19,'Typology Baseline - climate adj'!C43*$K$57*H43/SUM('Typology Baseline - climate adj'!C43*$K$57,'Typology Baseline - climate adj'!$D43:$F43),0)</f>
        <v>20.108725950448957</v>
      </c>
      <c r="L43" s="531">
        <f>IF(H19,($H43-$K43)/SUM('Typology Baseline - climate adj'!$D43:$F43)*'Typology Baseline - climate adj'!D43,0)</f>
        <v>3.8278362553635503</v>
      </c>
      <c r="M43" s="531">
        <f>IF('Typology Baseline - climate adj'!E43=0,0,($H43-$K43-$L43)/SUM('Typology Baseline - climate adj'!$E43:$F43)*'Typology Baseline - climate adj'!E43)</f>
        <v>0</v>
      </c>
      <c r="N43" s="618">
        <f>IF('Typology Baseline - climate adj'!F43=0,0,($H43-$K43-$L43)/SUM('Typology Baseline - climate adj'!$E43:$F43)*'Typology Baseline - climate adj'!F43)</f>
        <v>0</v>
      </c>
      <c r="O43" s="612"/>
      <c r="P43" s="526"/>
      <c r="Q43" s="525">
        <f t="shared" si="32"/>
        <v>14.076108165314269</v>
      </c>
      <c r="R43" s="525">
        <f t="shared" si="33"/>
        <v>3.8278362553635503</v>
      </c>
      <c r="S43" s="525">
        <f t="shared" si="34"/>
        <v>0</v>
      </c>
      <c r="T43" s="525">
        <f t="shared" si="35"/>
        <v>0</v>
      </c>
      <c r="U43" s="525"/>
      <c r="V43" s="525">
        <f t="shared" si="48"/>
        <v>17.903944420677817</v>
      </c>
      <c r="W43" s="533">
        <f t="shared" si="37"/>
        <v>40.970240963855417</v>
      </c>
      <c r="X43" s="533">
        <f t="shared" si="50"/>
        <v>58.874185384533234</v>
      </c>
      <c r="Y43" s="526"/>
      <c r="Z43" s="525">
        <f>SUMPRODUCT(Q43:T43,'Electrification of Gas End Uses'!$D$4:$G$4)</f>
        <v>6.0702876264583825</v>
      </c>
      <c r="AA43" s="533">
        <f t="shared" si="51"/>
        <v>40.970240963855417</v>
      </c>
      <c r="AB43" s="533">
        <f t="shared" si="52"/>
        <v>47.040528590313798</v>
      </c>
      <c r="AD43" s="525">
        <f t="shared" si="49"/>
        <v>9.8999999999999986</v>
      </c>
      <c r="AE43" s="538">
        <f t="shared" si="53"/>
        <v>3.8278362553635503</v>
      </c>
      <c r="AF43" s="538">
        <f t="shared" si="42"/>
        <v>0</v>
      </c>
      <c r="AG43" s="538">
        <f t="shared" si="26"/>
        <v>0</v>
      </c>
      <c r="AH43" s="538">
        <f t="shared" si="43"/>
        <v>37.081235380988389</v>
      </c>
      <c r="AI43" s="539">
        <f t="shared" si="44"/>
        <v>3.8890055828670334</v>
      </c>
      <c r="AJ43" s="525">
        <f>SUMPRODUCT(AD43:AG43,'Electrification of Gas End Uses'!$D$4:$G$4)</f>
        <v>4.7339330135578157</v>
      </c>
      <c r="AK43" s="533">
        <f t="shared" si="54"/>
        <v>40.970240963855424</v>
      </c>
      <c r="AL43" s="533">
        <f t="shared" si="46"/>
        <v>45.704173977413241</v>
      </c>
      <c r="AN43" s="534">
        <f>SUMPRODUCT(K43:N43,'Electrification of Gas End Uses'!$D$5:$G$5)</f>
        <v>2.3924199824166492</v>
      </c>
      <c r="AO43" s="521">
        <f>SUMPRODUCT(K43:N43,'Electrification of Gas End Uses'!$D$6:$G$6)</f>
        <v>21.574289488179929</v>
      </c>
      <c r="AP43" s="540">
        <f>(AH$57+IF(AH43&gt;(AH$60),AH43-AH$60,0))*(1+$AH$59)/'Electrification of Gas End Uses'!$D$12</f>
        <v>14.384814152395355</v>
      </c>
      <c r="AQ43" s="541">
        <f t="shared" si="47"/>
        <v>0</v>
      </c>
    </row>
    <row r="44" spans="1:43" ht="14.25" x14ac:dyDescent="0.2">
      <c r="B44" s="367" t="str">
        <f>'Typology Baseline - climate adj'!A44</f>
        <v>Lodging</v>
      </c>
      <c r="C44" s="525">
        <f t="shared" si="27"/>
        <v>0</v>
      </c>
      <c r="D44" s="526" t="b">
        <f t="shared" si="28"/>
        <v>0</v>
      </c>
      <c r="E44" s="526" t="str">
        <f t="shared" si="29"/>
        <v>CBECS</v>
      </c>
      <c r="F44" s="617">
        <f t="shared" si="30"/>
        <v>82.850920597385567</v>
      </c>
      <c r="G44" s="531">
        <f>IF(D44,D20,'Typology Baseline - climate adj'!H44*$I$57+'Typology Baseline - climate adj'!I44)</f>
        <v>42.320481927710851</v>
      </c>
      <c r="H44" s="531">
        <f>IF(D44,C20,SUM('Typology Baseline - climate adj'!C44*$K$57*$K$58*G20,'Typology Baseline - climate adj'!$D44*H20,'Typology Baseline - climate adj'!$E44:$F44))</f>
        <v>40.530438669674716</v>
      </c>
      <c r="I44" s="531">
        <f>'Typology Baseline - climate adj'!H44*$I$57/'Typology Baseline - climate adj'!G44*G44</f>
        <v>6.2897659580759457</v>
      </c>
      <c r="J44" s="531">
        <f t="shared" si="31"/>
        <v>36.030715969634905</v>
      </c>
      <c r="K44" s="531">
        <f>IF(G20,'Typology Baseline - climate adj'!C44*$K$57*H44/SUM('Typology Baseline - climate adj'!C44*$K$57,'Typology Baseline - climate adj'!$D44:$F44),0)</f>
        <v>7.5665442530088782</v>
      </c>
      <c r="L44" s="531">
        <f>IF(H20,($H44-$K44)/SUM('Typology Baseline - climate adj'!$D44:$F44)*'Typology Baseline - climate adj'!D44,0)</f>
        <v>26.391033294309509</v>
      </c>
      <c r="M44" s="531">
        <f>IF('Typology Baseline - climate adj'!E44=0,0,($H44-$K44-$L44)/SUM('Typology Baseline - climate adj'!$E44:$F44)*'Typology Baseline - climate adj'!E44)</f>
        <v>0</v>
      </c>
      <c r="N44" s="618">
        <f>IF('Typology Baseline - climate adj'!F44=0,0,($H44-$K44-$L44)/SUM('Typology Baseline - climate adj'!$E44:$F44)*'Typology Baseline - climate adj'!F44)</f>
        <v>6.5728611223563291</v>
      </c>
      <c r="O44" s="612"/>
      <c r="P44" s="526"/>
      <c r="Q44" s="525">
        <f t="shared" si="32"/>
        <v>5.2965809771062142</v>
      </c>
      <c r="R44" s="525">
        <f t="shared" si="33"/>
        <v>26.391033294309509</v>
      </c>
      <c r="S44" s="525">
        <f t="shared" si="34"/>
        <v>0</v>
      </c>
      <c r="T44" s="525">
        <f t="shared" si="35"/>
        <v>6.5728611223563291</v>
      </c>
      <c r="U44" s="525"/>
      <c r="V44" s="525">
        <f t="shared" si="48"/>
        <v>38.260475393772055</v>
      </c>
      <c r="W44" s="533">
        <f t="shared" si="37"/>
        <v>29.624337349397592</v>
      </c>
      <c r="X44" s="533">
        <f t="shared" si="50"/>
        <v>67.884812743169647</v>
      </c>
      <c r="Y44" s="526"/>
      <c r="Z44" s="525">
        <f>SUMPRODUCT(Q44:T44,'Electrification of Gas End Uses'!$D$4:$G$4)</f>
        <v>18.31148115148185</v>
      </c>
      <c r="AA44" s="533">
        <f t="shared" si="51"/>
        <v>29.624337349397592</v>
      </c>
      <c r="AB44" s="533">
        <f t="shared" si="52"/>
        <v>47.935818500879442</v>
      </c>
      <c r="AD44" s="525">
        <f t="shared" si="49"/>
        <v>5.2965809771062142</v>
      </c>
      <c r="AE44" s="538">
        <f t="shared" si="53"/>
        <v>26.391033294309509</v>
      </c>
      <c r="AF44" s="538">
        <f t="shared" si="42"/>
        <v>0</v>
      </c>
      <c r="AG44" s="538">
        <f t="shared" si="26"/>
        <v>6.5728611223563291</v>
      </c>
      <c r="AH44" s="538">
        <f t="shared" si="43"/>
        <v>25.221501178744433</v>
      </c>
      <c r="AI44" s="539">
        <f t="shared" si="44"/>
        <v>4.4028361706531616</v>
      </c>
      <c r="AJ44" s="525">
        <f>SUMPRODUCT(AD44:AG44,'Electrification of Gas End Uses'!$D$4:$G$4)</f>
        <v>18.31148115148185</v>
      </c>
      <c r="AK44" s="533">
        <f t="shared" si="54"/>
        <v>29.624337349397592</v>
      </c>
      <c r="AL44" s="533">
        <f t="shared" si="46"/>
        <v>47.935818500879442</v>
      </c>
      <c r="AN44" s="534">
        <f>SUMPRODUCT(K44:N44,'Electrification of Gas End Uses'!$D$5:$G$5)</f>
        <v>7.6951427135292221</v>
      </c>
      <c r="AO44" s="521">
        <f>SUMPRODUCT(K44:N44,'Electrification of Gas End Uses'!$D$6:$G$6)</f>
        <v>17.783054148576017</v>
      </c>
      <c r="AP44" s="540">
        <f>(AH$57+IF(AH44&gt;(AH$60),AH44-AH$60,0))*(1+$AH$59)/'Electrification of Gas End Uses'!$D$12</f>
        <v>9.6409204714977736</v>
      </c>
      <c r="AQ44" s="541">
        <f t="shared" si="47"/>
        <v>0</v>
      </c>
    </row>
    <row r="45" spans="1:43" ht="14.25" x14ac:dyDescent="0.2">
      <c r="B45" s="367" t="str">
        <f>'Typology Baseline - climate adj'!A45</f>
        <v>Mercantile Enclosed and strip malls</v>
      </c>
      <c r="C45" s="525">
        <f t="shared" si="27"/>
        <v>11975697</v>
      </c>
      <c r="D45" s="526" t="b">
        <f t="shared" si="28"/>
        <v>0</v>
      </c>
      <c r="E45" s="526" t="str">
        <f t="shared" si="29"/>
        <v>CBECS</v>
      </c>
      <c r="F45" s="617">
        <f t="shared" si="30"/>
        <v>114.56477245682122</v>
      </c>
      <c r="G45" s="531">
        <f>IF(D45,D21,'Typology Baseline - climate adj'!H45*$I$57+'Typology Baseline - climate adj'!I45)</f>
        <v>66.839759036144585</v>
      </c>
      <c r="H45" s="531">
        <f>IF(D45,C21,SUM('Typology Baseline - climate adj'!C45*$K$57*$K$58*G21,'Typology Baseline - climate adj'!$D45*H21,'Typology Baseline - climate adj'!$E45:$F45))</f>
        <v>47.725013420676632</v>
      </c>
      <c r="I45" s="531">
        <f>'Typology Baseline - climate adj'!H46*$I$57/'Typology Baseline - climate adj'!G46*G45</f>
        <v>9.2309813584718228</v>
      </c>
      <c r="J45" s="531">
        <f t="shared" si="31"/>
        <v>57.608777677672762</v>
      </c>
      <c r="K45" s="531">
        <f>IF(G21,'Typology Baseline - climate adj'!C45*$K$57*H45/SUM('Typology Baseline - climate adj'!C45*$K$57,'Typology Baseline - climate adj'!$D45:$F45),0)</f>
        <v>11.51851453684397</v>
      </c>
      <c r="L45" s="531">
        <f>IF(H21,($H45-$K45)/SUM('Typology Baseline - climate adj'!$D45:$F45)*'Typology Baseline - climate adj'!D45,0)</f>
        <v>14.025044897308806</v>
      </c>
      <c r="M45" s="531">
        <f>IF('Typology Baseline - climate adj'!E45=0,0,($H45-$K45-$L45)/SUM('Typology Baseline - climate adj'!$E45:$F45)*'Typology Baseline - climate adj'!E45)</f>
        <v>15.318134143159973</v>
      </c>
      <c r="N45" s="618">
        <f>IF('Typology Baseline - climate adj'!F45=0,0,($H45-$K45-$L45)/SUM('Typology Baseline - climate adj'!$E45:$F45)*'Typology Baseline - climate adj'!F45)</f>
        <v>6.8633198433638851</v>
      </c>
      <c r="O45" s="612"/>
      <c r="P45" s="526"/>
      <c r="Q45" s="525">
        <f t="shared" si="32"/>
        <v>8.0629601757907778</v>
      </c>
      <c r="R45" s="525">
        <f t="shared" si="33"/>
        <v>14.025044897308806</v>
      </c>
      <c r="S45" s="525">
        <f t="shared" si="34"/>
        <v>15.318134143159973</v>
      </c>
      <c r="T45" s="525">
        <f t="shared" si="35"/>
        <v>6.8633198433638851</v>
      </c>
      <c r="U45" s="525"/>
      <c r="V45" s="525">
        <f t="shared" si="48"/>
        <v>44.269459059623443</v>
      </c>
      <c r="W45" s="533">
        <f t="shared" si="37"/>
        <v>46.787831325301205</v>
      </c>
      <c r="X45" s="533">
        <f t="shared" si="50"/>
        <v>91.057290384924642</v>
      </c>
      <c r="Y45" s="526"/>
      <c r="Z45" s="525">
        <f>SUMPRODUCT(Q45:T45,'Electrification of Gas End Uses'!$D$4:$G$4)</f>
        <v>23.726943640625006</v>
      </c>
      <c r="AA45" s="533">
        <f t="shared" si="51"/>
        <v>46.787831325301205</v>
      </c>
      <c r="AB45" s="533">
        <f t="shared" si="52"/>
        <v>70.514774965926208</v>
      </c>
      <c r="AD45" s="525">
        <f t="shared" si="49"/>
        <v>8.0629601757907778</v>
      </c>
      <c r="AE45" s="538">
        <f t="shared" si="53"/>
        <v>14.025044897308806</v>
      </c>
      <c r="AF45" s="538">
        <f t="shared" si="42"/>
        <v>15.318134143159973</v>
      </c>
      <c r="AG45" s="538">
        <f t="shared" si="26"/>
        <v>6.8633198433638851</v>
      </c>
      <c r="AH45" s="538">
        <f t="shared" si="43"/>
        <v>40.326144374370934</v>
      </c>
      <c r="AI45" s="539">
        <f t="shared" si="44"/>
        <v>6.4616869509302752</v>
      </c>
      <c r="AJ45" s="525">
        <f>SUMPRODUCT(AD45:AG45,'Electrification of Gas End Uses'!$D$4:$G$4)</f>
        <v>23.726943640625006</v>
      </c>
      <c r="AK45" s="533">
        <f t="shared" si="54"/>
        <v>46.787831325301212</v>
      </c>
      <c r="AL45" s="533">
        <f t="shared" si="46"/>
        <v>70.514774965926222</v>
      </c>
      <c r="AN45" s="534">
        <f>SUMPRODUCT(K45:N45,'Electrification of Gas End Uses'!$D$5:$G$5)</f>
        <v>18.601579414909757</v>
      </c>
      <c r="AO45" s="521">
        <f>SUMPRODUCT(K45:N45,'Electrification of Gas End Uses'!$D$6:$G$6)</f>
        <v>30.249709981277075</v>
      </c>
      <c r="AP45" s="540">
        <f>(AH$57+IF(AH45&gt;(AH$60),AH45-AH$60,0))*(1+$AH$59)/'Electrification of Gas End Uses'!$D$12</f>
        <v>15.682777749748373</v>
      </c>
      <c r="AQ45" s="541">
        <f t="shared" si="47"/>
        <v>0</v>
      </c>
    </row>
    <row r="46" spans="1:43" ht="14.25" x14ac:dyDescent="0.2">
      <c r="B46" s="367" t="str">
        <f>'Typology Baseline - climate adj'!A46</f>
        <v>Mercantile Retail (other than mall)</v>
      </c>
      <c r="C46" s="525">
        <f t="shared" si="27"/>
        <v>1693569</v>
      </c>
      <c r="D46" s="526" t="b">
        <f t="shared" si="28"/>
        <v>0</v>
      </c>
      <c r="E46" s="526" t="str">
        <f t="shared" si="29"/>
        <v>CBECS</v>
      </c>
      <c r="F46" s="617">
        <f t="shared" si="30"/>
        <v>66.489440296179083</v>
      </c>
      <c r="G46" s="531">
        <f>IF(D46,D22,'Typology Baseline - climate adj'!H46*$I$57+'Typology Baseline - climate adj'!I46)</f>
        <v>47.484337349397585</v>
      </c>
      <c r="H46" s="531">
        <f>IF(D46,C22,SUM('Typology Baseline - climate adj'!C46*$K$57*$K$58*G22,'Typology Baseline - climate adj'!$D46*H22,'Typology Baseline - climate adj'!$E46:$F46))</f>
        <v>19.005102946781491</v>
      </c>
      <c r="I46" s="531">
        <f>'Typology Baseline - climate adj'!H45*$I$57/'Typology Baseline - climate adj'!G45*G46</f>
        <v>5.412626348679491</v>
      </c>
      <c r="J46" s="531">
        <f t="shared" si="31"/>
        <v>42.071711000718096</v>
      </c>
      <c r="K46" s="531">
        <f>IF(G22,'Typology Baseline - climate adj'!C46*$K$57*H46/SUM('Typology Baseline - climate adj'!C46*$K$57,'Typology Baseline - climate adj'!$D46:$F46),0)</f>
        <v>10.609618310112362</v>
      </c>
      <c r="L46" s="531">
        <f>IF(H22,($H46-$K46)/SUM('Typology Baseline - climate adj'!$D46:$F46)*'Typology Baseline - climate adj'!D46,0)</f>
        <v>2.4692601872556263</v>
      </c>
      <c r="M46" s="531">
        <f>IF('Typology Baseline - climate adj'!E46=0,0,($H46-$K46-$L46)/SUM('Typology Baseline - climate adj'!$E46:$F46)*'Typology Baseline - climate adj'!E46)</f>
        <v>5.9262244494135032</v>
      </c>
      <c r="N46" s="618">
        <f>IF('Typology Baseline - climate adj'!F46=0,0,($H46-$K46-$L46)/SUM('Typology Baseline - climate adj'!$E46:$F46)*'Typology Baseline - climate adj'!F46)</f>
        <v>0</v>
      </c>
      <c r="O46" s="612"/>
      <c r="P46" s="526"/>
      <c r="Q46" s="525">
        <f t="shared" si="32"/>
        <v>7.4267328170786531</v>
      </c>
      <c r="R46" s="525">
        <f t="shared" si="33"/>
        <v>2.4692601872556263</v>
      </c>
      <c r="S46" s="525">
        <f t="shared" si="34"/>
        <v>5.9262244494135032</v>
      </c>
      <c r="T46" s="525">
        <f t="shared" si="35"/>
        <v>0</v>
      </c>
      <c r="U46" s="525"/>
      <c r="V46" s="525">
        <f t="shared" si="48"/>
        <v>15.822217453747783</v>
      </c>
      <c r="W46" s="533">
        <f t="shared" si="37"/>
        <v>33.239036144578307</v>
      </c>
      <c r="X46" s="533">
        <f t="shared" si="50"/>
        <v>49.06125359832609</v>
      </c>
      <c r="Y46" s="526"/>
      <c r="Z46" s="525">
        <f>SUMPRODUCT(Q46:T46,'Electrification of Gas End Uses'!$D$4:$G$4)</f>
        <v>6.9969728429840679</v>
      </c>
      <c r="AA46" s="533">
        <f t="shared" si="51"/>
        <v>33.239036144578307</v>
      </c>
      <c r="AB46" s="533">
        <f t="shared" si="52"/>
        <v>40.236008987562371</v>
      </c>
      <c r="AD46" s="525">
        <f t="shared" si="49"/>
        <v>7.4267328170786531</v>
      </c>
      <c r="AE46" s="538">
        <f t="shared" si="53"/>
        <v>2.4692601872556263</v>
      </c>
      <c r="AF46" s="538">
        <f t="shared" si="42"/>
        <v>5.9262244494135032</v>
      </c>
      <c r="AG46" s="538">
        <f t="shared" si="26"/>
        <v>0</v>
      </c>
      <c r="AH46" s="538">
        <f t="shared" si="43"/>
        <v>29.450197700502667</v>
      </c>
      <c r="AI46" s="539">
        <f t="shared" si="44"/>
        <v>3.7888384440756435</v>
      </c>
      <c r="AJ46" s="525">
        <f>SUMPRODUCT(AD46:AG46,'Electrification of Gas End Uses'!$D$4:$G$4)</f>
        <v>6.9969728429840679</v>
      </c>
      <c r="AK46" s="533">
        <f t="shared" si="54"/>
        <v>33.239036144578307</v>
      </c>
      <c r="AL46" s="533">
        <f t="shared" si="46"/>
        <v>40.236008987562371</v>
      </c>
      <c r="AN46" s="534">
        <f>SUMPRODUCT(K46:N46,'Electrification of Gas End Uses'!$D$5:$G$5)</f>
        <v>5.8012552949268494</v>
      </c>
      <c r="AO46" s="521">
        <f>SUMPRODUCT(K46:N46,'Electrification of Gas End Uses'!$D$6:$G$6)</f>
        <v>15.769460865015198</v>
      </c>
      <c r="AP46" s="540">
        <f>(AH$57+IF(AH46&gt;(AH$60),AH46-AH$60,0))*(1+$AH$59)/'Electrification of Gas End Uses'!$D$12</f>
        <v>11.332399080201066</v>
      </c>
      <c r="AQ46" s="541">
        <f t="shared" si="47"/>
        <v>0</v>
      </c>
    </row>
    <row r="47" spans="1:43" ht="14.25" x14ac:dyDescent="0.2">
      <c r="B47" s="367" t="str">
        <f>'Typology Baseline - climate adj'!A47</f>
        <v>Office</v>
      </c>
      <c r="C47" s="525">
        <f t="shared" si="27"/>
        <v>405272</v>
      </c>
      <c r="D47" s="526" t="b">
        <f t="shared" si="28"/>
        <v>0</v>
      </c>
      <c r="E47" s="526" t="str">
        <f t="shared" si="29"/>
        <v>CBECS</v>
      </c>
      <c r="F47" s="617">
        <f t="shared" si="30"/>
        <v>77.854149336338295</v>
      </c>
      <c r="G47" s="531">
        <f>IF(D47,D23,'Typology Baseline - climate adj'!H47*$I$57+'Typology Baseline - climate adj'!I47)</f>
        <v>50.484337349397592</v>
      </c>
      <c r="H47" s="531">
        <f>IF(D47,C23,SUM('Typology Baseline - climate adj'!C47*$K$57*$K$58*G23,'Typology Baseline - climate adj'!$D47*H23,'Typology Baseline - climate adj'!$E47:$F47))</f>
        <v>27.369811986940704</v>
      </c>
      <c r="I47" s="531">
        <f>'Typology Baseline - climate adj'!H47*$I$57/'Typology Baseline - climate adj'!G47*G47</f>
        <v>6.5652595662289102</v>
      </c>
      <c r="J47" s="531">
        <f t="shared" si="31"/>
        <v>43.919077783168682</v>
      </c>
      <c r="K47" s="531">
        <f>IF(G23,'Typology Baseline - climate adj'!C47*$K$57*H47/SUM('Typology Baseline - climate adj'!C47*$K$57,'Typology Baseline - climate adj'!$D47:$F47),0)</f>
        <v>13.322048637582878</v>
      </c>
      <c r="L47" s="531">
        <f>IF(H23,($H47-$K47)/SUM('Typology Baseline - climate adj'!$D47:$F47)*'Typology Baseline - climate adj'!D47,0)</f>
        <v>4.7485397237265889</v>
      </c>
      <c r="M47" s="531">
        <f>IF('Typology Baseline - climate adj'!E47=0,0,($H47-$K47-$L47)/SUM('Typology Baseline - climate adj'!$E47:$F47)*'Typology Baseline - climate adj'!E47)</f>
        <v>0</v>
      </c>
      <c r="N47" s="618">
        <f>IF('Typology Baseline - climate adj'!F47=0,0,($H47-$K47-$L47)/SUM('Typology Baseline - climate adj'!$E47:$F47)*'Typology Baseline - climate adj'!F47)</f>
        <v>9.2992236256312371</v>
      </c>
      <c r="O47" s="612"/>
      <c r="P47" s="526"/>
      <c r="Q47" s="525">
        <f t="shared" si="32"/>
        <v>9.325434046308013</v>
      </c>
      <c r="R47" s="525">
        <f t="shared" si="33"/>
        <v>4.7485397237265889</v>
      </c>
      <c r="S47" s="525">
        <f t="shared" si="34"/>
        <v>0</v>
      </c>
      <c r="T47" s="525">
        <f t="shared" si="35"/>
        <v>9.2992236256312371</v>
      </c>
      <c r="U47" s="525"/>
      <c r="V47" s="525">
        <f t="shared" si="48"/>
        <v>23.373197395665841</v>
      </c>
      <c r="W47" s="533">
        <f t="shared" si="37"/>
        <v>35.339036144578309</v>
      </c>
      <c r="X47" s="533">
        <f t="shared" si="50"/>
        <v>58.712233540244149</v>
      </c>
      <c r="Y47" s="526"/>
      <c r="Z47" s="525">
        <f>SUMPRODUCT(Q47:T47,'Electrification of Gas End Uses'!$D$4:$G$4)</f>
        <v>13.161150354528683</v>
      </c>
      <c r="AA47" s="533">
        <f t="shared" si="51"/>
        <v>35.339036144578309</v>
      </c>
      <c r="AB47" s="533">
        <f t="shared" si="52"/>
        <v>48.500186499106988</v>
      </c>
      <c r="AD47" s="525">
        <f t="shared" si="49"/>
        <v>9.325434046308013</v>
      </c>
      <c r="AE47" s="538">
        <f t="shared" si="53"/>
        <v>4.7485397237265889</v>
      </c>
      <c r="AF47" s="538">
        <f t="shared" si="42"/>
        <v>0</v>
      </c>
      <c r="AG47" s="538">
        <f t="shared" si="26"/>
        <v>9.2992236256312371</v>
      </c>
      <c r="AH47" s="538">
        <f t="shared" si="43"/>
        <v>30.743354448218074</v>
      </c>
      <c r="AI47" s="539">
        <f t="shared" si="44"/>
        <v>4.5956816963602369</v>
      </c>
      <c r="AJ47" s="525">
        <f>SUMPRODUCT(AD47:AG47,'Electrification of Gas End Uses'!$D$4:$G$4)</f>
        <v>13.161150354528683</v>
      </c>
      <c r="AK47" s="533">
        <f t="shared" si="54"/>
        <v>35.339036144578309</v>
      </c>
      <c r="AL47" s="533">
        <f t="shared" si="46"/>
        <v>48.500186499106988</v>
      </c>
      <c r="AN47" s="534">
        <f>SUMPRODUCT(K47:N47,'Electrification of Gas End Uses'!$D$5:$G$5)</f>
        <v>7.7646705789349681</v>
      </c>
      <c r="AO47" s="521">
        <f>SUMPRODUCT(K47:N47,'Electrification of Gas End Uses'!$D$6:$G$6)</f>
        <v>20.355138680749327</v>
      </c>
      <c r="AP47" s="540">
        <f>(AH$57+IF(AH47&gt;(AH$60),AH47-AH$60,0))*(1+$AH$59)/'Electrification of Gas End Uses'!$D$12</f>
        <v>11.849661779287228</v>
      </c>
      <c r="AQ47" s="541">
        <f t="shared" si="47"/>
        <v>0</v>
      </c>
    </row>
    <row r="48" spans="1:43" ht="14.25" x14ac:dyDescent="0.2">
      <c r="B48" s="367" t="str">
        <f>'Typology Baseline - climate adj'!A48</f>
        <v>Other</v>
      </c>
      <c r="C48" s="525">
        <f t="shared" si="27"/>
        <v>224298</v>
      </c>
      <c r="D48" s="526" t="b">
        <f t="shared" si="28"/>
        <v>0</v>
      </c>
      <c r="E48" s="526" t="str">
        <f t="shared" si="29"/>
        <v>CBECS</v>
      </c>
      <c r="F48" s="617">
        <f t="shared" si="30"/>
        <v>117.63460170279889</v>
      </c>
      <c r="G48" s="531">
        <f>IF(D48,D24,'Typology Baseline - climate adj'!H48*$I$57+'Typology Baseline - climate adj'!I48)</f>
        <v>92.377108433734946</v>
      </c>
      <c r="H48" s="531">
        <f>IF(D48,C24,SUM('Typology Baseline - climate adj'!C48*$K$57*$K$58*G24,'Typology Baseline - climate adj'!$D48*H24,'Typology Baseline - climate adj'!$E48:$F48))</f>
        <v>25.257493269063946</v>
      </c>
      <c r="I48" s="531">
        <f>'Typology Baseline - climate adj'!H49*$I$57/'Typology Baseline - climate adj'!G49*G48</f>
        <v>32.535698033917278</v>
      </c>
      <c r="J48" s="531">
        <f t="shared" si="31"/>
        <v>59.841410399817669</v>
      </c>
      <c r="K48" s="531">
        <f>IF(G24,'Typology Baseline - climate adj'!C48*$K$57*H48/SUM('Typology Baseline - climate adj'!C48*$K$57,'Typology Baseline - climate adj'!$D48:$F48),0)</f>
        <v>23.003632003389768</v>
      </c>
      <c r="L48" s="531">
        <f>IF(H24,($H48-$K48)/SUM('Typology Baseline - climate adj'!$D48:$F48)*'Typology Baseline - climate adj'!D48,0)</f>
        <v>2.2538612656741783</v>
      </c>
      <c r="M48" s="531">
        <f>IF('Typology Baseline - climate adj'!E48=0,0,($H48-$K48-$L48)/SUM('Typology Baseline - climate adj'!$E48:$F48)*'Typology Baseline - climate adj'!E48)</f>
        <v>0</v>
      </c>
      <c r="N48" s="618">
        <f>IF('Typology Baseline - climate adj'!F48=0,0,($H48-$K48-$L48)/SUM('Typology Baseline - climate adj'!$E48:$F48)*'Typology Baseline - climate adj'!F48)</f>
        <v>0</v>
      </c>
      <c r="O48" s="612"/>
      <c r="P48" s="526"/>
      <c r="Q48" s="525">
        <f t="shared" si="32"/>
        <v>16.102542402372837</v>
      </c>
      <c r="R48" s="525">
        <f t="shared" si="33"/>
        <v>2.2538612656741783</v>
      </c>
      <c r="S48" s="525">
        <f t="shared" si="34"/>
        <v>0</v>
      </c>
      <c r="T48" s="525">
        <f t="shared" si="35"/>
        <v>0</v>
      </c>
      <c r="U48" s="525"/>
      <c r="V48" s="525">
        <f t="shared" si="48"/>
        <v>18.356403668047015</v>
      </c>
      <c r="W48" s="533">
        <f t="shared" si="37"/>
        <v>64.663975903614457</v>
      </c>
      <c r="X48" s="533">
        <f t="shared" si="50"/>
        <v>83.020379571661465</v>
      </c>
      <c r="Y48" s="526"/>
      <c r="Z48" s="525">
        <f>SUMPRODUCT(Q48:T48,'Electrification of Gas End Uses'!$D$4:$G$4)</f>
        <v>6.0748477228987445</v>
      </c>
      <c r="AA48" s="533">
        <f t="shared" si="51"/>
        <v>64.663975903614457</v>
      </c>
      <c r="AB48" s="533">
        <f t="shared" si="52"/>
        <v>70.738823626513195</v>
      </c>
      <c r="AD48" s="525">
        <f t="shared" si="49"/>
        <v>9.8999999999999986</v>
      </c>
      <c r="AE48" s="538">
        <f t="shared" si="53"/>
        <v>2.2538612656741783</v>
      </c>
      <c r="AF48" s="538">
        <f t="shared" si="42"/>
        <v>0</v>
      </c>
      <c r="AG48" s="538">
        <f t="shared" si="26"/>
        <v>0</v>
      </c>
      <c r="AH48" s="538">
        <f t="shared" si="43"/>
        <v>41.888987279872367</v>
      </c>
      <c r="AI48" s="539">
        <f t="shared" si="44"/>
        <v>22.774988623742093</v>
      </c>
      <c r="AJ48" s="525">
        <f>SUMPRODUCT(AD48:AG48,'Electrification of Gas End Uses'!$D$4:$G$4)</f>
        <v>4.0900341541394365</v>
      </c>
      <c r="AK48" s="533">
        <f t="shared" si="54"/>
        <v>64.663975903614457</v>
      </c>
      <c r="AL48" s="533">
        <f t="shared" si="46"/>
        <v>68.754010057753888</v>
      </c>
      <c r="AN48" s="534">
        <f>SUMPRODUCT(K48:N48,'Electrification of Gas End Uses'!$D$5:$G$5)</f>
        <v>2.5163096974833992</v>
      </c>
      <c r="AO48" s="521">
        <f>SUMPRODUCT(K48:N48,'Electrification of Gas End Uses'!$D$6:$G$6)</f>
        <v>24.191309633095521</v>
      </c>
      <c r="AP48" s="540">
        <f>(AH$57+IF(AH48&gt;(AH$60),AH48-AH$60,0))*(1+$AH$59)/'Electrification of Gas End Uses'!$D$12</f>
        <v>16.307914911948949</v>
      </c>
      <c r="AQ48" s="541">
        <f t="shared" si="47"/>
        <v>0</v>
      </c>
    </row>
    <row r="49" spans="1:43" ht="14.25" x14ac:dyDescent="0.2">
      <c r="B49" s="367" t="str">
        <f>'Typology Baseline - climate adj'!A49</f>
        <v>Public assembly</v>
      </c>
      <c r="C49" s="525">
        <f t="shared" si="27"/>
        <v>616152</v>
      </c>
      <c r="D49" s="526" t="b">
        <f t="shared" si="28"/>
        <v>0</v>
      </c>
      <c r="E49" s="526" t="str">
        <f t="shared" si="29"/>
        <v>CBECS</v>
      </c>
      <c r="F49" s="617">
        <f t="shared" si="30"/>
        <v>73.356744709829613</v>
      </c>
      <c r="G49" s="531">
        <f>IF(D49,D25,'Typology Baseline - climate adj'!H49*$I$57+'Typology Baseline - climate adj'!I49)</f>
        <v>42.067469879518065</v>
      </c>
      <c r="H49" s="531">
        <f>IF(D49,C25,SUM('Typology Baseline - climate adj'!C49*$K$57*$K$58*G25,'Typology Baseline - climate adj'!$D49*H25,'Typology Baseline - climate adj'!$E49:$F49))</f>
        <v>31.289274830311545</v>
      </c>
      <c r="I49" s="531">
        <f>'Typology Baseline - climate adj'!H50*$I$57/'Typology Baseline - climate adj'!G50*G49</f>
        <v>9.2497750036289705</v>
      </c>
      <c r="J49" s="531">
        <f t="shared" si="31"/>
        <v>32.817694875889096</v>
      </c>
      <c r="K49" s="531">
        <f>IF(G25,'Typology Baseline - climate adj'!C49*$K$57*H49/SUM('Typology Baseline - climate adj'!C49*$K$57,'Typology Baseline - climate adj'!$D49:$F49),0)</f>
        <v>18.258937229553613</v>
      </c>
      <c r="L49" s="531">
        <f>IF(H25,($H49-$K49)/SUM('Typology Baseline - climate adj'!$D49:$F49)*'Typology Baseline - climate adj'!D49,0)</f>
        <v>2.0730082546660347</v>
      </c>
      <c r="M49" s="531">
        <f>IF('Typology Baseline - climate adj'!E49=0,0,($H49-$K49-$L49)/SUM('Typology Baseline - climate adj'!$E49:$F49)*'Typology Baseline - climate adj'!E49)</f>
        <v>6.3177394427917228</v>
      </c>
      <c r="N49" s="618">
        <f>IF('Typology Baseline - climate adj'!F49=0,0,($H49-$K49-$L49)/SUM('Typology Baseline - climate adj'!$E49:$F49)*'Typology Baseline - climate adj'!F49)</f>
        <v>4.6395899033001715</v>
      </c>
      <c r="O49" s="612"/>
      <c r="P49" s="526"/>
      <c r="Q49" s="525">
        <f t="shared" si="32"/>
        <v>12.781256060687529</v>
      </c>
      <c r="R49" s="525">
        <f t="shared" si="33"/>
        <v>2.0730082546660347</v>
      </c>
      <c r="S49" s="525">
        <f t="shared" si="34"/>
        <v>6.3177394427917228</v>
      </c>
      <c r="T49" s="525">
        <f t="shared" si="35"/>
        <v>4.6395899033001715</v>
      </c>
      <c r="U49" s="525"/>
      <c r="V49" s="525">
        <f t="shared" si="48"/>
        <v>25.811593661445457</v>
      </c>
      <c r="W49" s="533">
        <f t="shared" si="37"/>
        <v>29.447228915662642</v>
      </c>
      <c r="X49" s="533">
        <f t="shared" si="50"/>
        <v>55.258822577108099</v>
      </c>
      <c r="Y49" s="526"/>
      <c r="Z49" s="525">
        <f>SUMPRODUCT(Q49:T49,'Electrification of Gas End Uses'!$D$4:$G$4)</f>
        <v>12.895167997070065</v>
      </c>
      <c r="AA49" s="533">
        <f t="shared" si="51"/>
        <v>29.447228915662642</v>
      </c>
      <c r="AB49" s="533">
        <f t="shared" si="52"/>
        <v>42.34239691273271</v>
      </c>
      <c r="AD49" s="525">
        <f t="shared" si="49"/>
        <v>9.8999999999999986</v>
      </c>
      <c r="AE49" s="538">
        <f t="shared" si="53"/>
        <v>2.0730082546660347</v>
      </c>
      <c r="AF49" s="538">
        <f t="shared" si="42"/>
        <v>6.3177394427917228</v>
      </c>
      <c r="AG49" s="538">
        <f t="shared" si="26"/>
        <v>4.6395899033001715</v>
      </c>
      <c r="AH49" s="538">
        <f t="shared" si="43"/>
        <v>22.972386413122365</v>
      </c>
      <c r="AI49" s="539">
        <f t="shared" si="44"/>
        <v>8.741274565248947</v>
      </c>
      <c r="AJ49" s="525">
        <f>SUMPRODUCT(AD49:AG49,'Electrification of Gas End Uses'!$D$4:$G$4)</f>
        <v>11.973166057650054</v>
      </c>
      <c r="AK49" s="533">
        <f t="shared" si="54"/>
        <v>31.713660978371312</v>
      </c>
      <c r="AL49" s="533">
        <f t="shared" si="46"/>
        <v>43.68682703602137</v>
      </c>
      <c r="AN49" s="534">
        <f>SUMPRODUCT(K49:N49,'Electrification of Gas End Uses'!$D$5:$G$5)</f>
        <v>9.7845054448896462</v>
      </c>
      <c r="AO49" s="521">
        <f>SUMPRODUCT(K49:N49,'Electrification of Gas End Uses'!$D$6:$G$6)</f>
        <v>26.603687545072653</v>
      </c>
      <c r="AP49" s="540">
        <f>(AH$57+IF(AH49&gt;(AH$60),AH49-AH$60,0))*(1+$AH$59)/'Electrification of Gas End Uses'!$D$12</f>
        <v>8.741274565248947</v>
      </c>
      <c r="AQ49" s="541">
        <f t="shared" si="47"/>
        <v>-0.35003663206008118</v>
      </c>
    </row>
    <row r="50" spans="1:43" ht="14.25" x14ac:dyDescent="0.2">
      <c r="B50" s="367" t="str">
        <f>'Typology Baseline - climate adj'!A50</f>
        <v>Public order and safety</v>
      </c>
      <c r="C50" s="525">
        <f t="shared" si="27"/>
        <v>1269985</v>
      </c>
      <c r="D50" s="526" t="b">
        <f t="shared" si="28"/>
        <v>0</v>
      </c>
      <c r="E50" s="526" t="str">
        <f t="shared" si="29"/>
        <v>CBECS</v>
      </c>
      <c r="F50" s="617">
        <f t="shared" si="30"/>
        <v>81.571658801197714</v>
      </c>
      <c r="G50" s="531">
        <f>IF(D50,D26,'Typology Baseline - climate adj'!H50*$I$57+'Typology Baseline - climate adj'!I50)</f>
        <v>43.450602409638563</v>
      </c>
      <c r="H50" s="531">
        <f>IF(D50,C26,SUM('Typology Baseline - climate adj'!C50*$K$57*$K$58*G26,'Typology Baseline - climate adj'!$D50*H26,'Typology Baseline - climate adj'!$E50:$F50))</f>
        <v>38.121056391559151</v>
      </c>
      <c r="I50" s="531">
        <f>'Typology Baseline - climate adj'!H51*$I$57/'Typology Baseline - climate adj'!G51*G50</f>
        <v>8.6525864311987686</v>
      </c>
      <c r="J50" s="531">
        <f t="shared" si="31"/>
        <v>34.798015978439793</v>
      </c>
      <c r="K50" s="531">
        <f>IF(G26,'Typology Baseline - climate adj'!C50*$K$57*H50/SUM('Typology Baseline - climate adj'!C50*$K$57,'Typology Baseline - climate adj'!$D50:$F50),0)</f>
        <v>13.414042375845565</v>
      </c>
      <c r="L50" s="531">
        <f>IF(H26,($H50-$K50)/SUM('Typology Baseline - climate adj'!$D50:$F50)*'Typology Baseline - climate adj'!D50,0)</f>
        <v>21.234140559689585</v>
      </c>
      <c r="M50" s="531">
        <f>IF('Typology Baseline - climate adj'!E50=0,0,($H50-$K50-$L50)/SUM('Typology Baseline - climate adj'!$E50:$F50)*'Typology Baseline - climate adj'!E50)</f>
        <v>3.4728734560240007</v>
      </c>
      <c r="N50" s="618">
        <f>IF('Typology Baseline - climate adj'!F50=0,0,($H50-$K50-$L50)/SUM('Typology Baseline - climate adj'!$E50:$F50)*'Typology Baseline - climate adj'!F50)</f>
        <v>0</v>
      </c>
      <c r="O50" s="612"/>
      <c r="P50" s="526"/>
      <c r="Q50" s="525">
        <f t="shared" si="32"/>
        <v>9.3898296630918949</v>
      </c>
      <c r="R50" s="525">
        <f t="shared" si="33"/>
        <v>21.234140559689585</v>
      </c>
      <c r="S50" s="525">
        <f t="shared" si="34"/>
        <v>3.4728734560240007</v>
      </c>
      <c r="T50" s="525">
        <f t="shared" si="35"/>
        <v>0</v>
      </c>
      <c r="U50" s="525"/>
      <c r="V50" s="525">
        <f t="shared" si="48"/>
        <v>34.096843678805485</v>
      </c>
      <c r="W50" s="533">
        <f t="shared" si="37"/>
        <v>30.415421686746992</v>
      </c>
      <c r="X50" s="533">
        <f t="shared" si="50"/>
        <v>64.51226536555248</v>
      </c>
      <c r="Y50" s="526"/>
      <c r="Z50" s="525">
        <f>SUMPRODUCT(Q50:T50,'Electrification of Gas End Uses'!$D$4:$G$4)</f>
        <v>13.807120027234467</v>
      </c>
      <c r="AA50" s="533">
        <f t="shared" si="51"/>
        <v>30.415421686746992</v>
      </c>
      <c r="AB50" s="533">
        <f t="shared" si="52"/>
        <v>44.222541713981457</v>
      </c>
      <c r="AD50" s="525">
        <f t="shared" si="49"/>
        <v>9.3898296630918949</v>
      </c>
      <c r="AE50" s="538">
        <f t="shared" si="53"/>
        <v>21.234140559689585</v>
      </c>
      <c r="AF50" s="538">
        <f t="shared" si="42"/>
        <v>3.4728734560240007</v>
      </c>
      <c r="AG50" s="538">
        <f t="shared" si="26"/>
        <v>0</v>
      </c>
      <c r="AH50" s="538">
        <f t="shared" si="43"/>
        <v>24.358611184907854</v>
      </c>
      <c r="AI50" s="539">
        <f t="shared" si="44"/>
        <v>6.0568105018391378</v>
      </c>
      <c r="AJ50" s="525">
        <f>SUMPRODUCT(AD50:AG50,'Electrification of Gas End Uses'!$D$4:$G$4)</f>
        <v>13.807120027234467</v>
      </c>
      <c r="AK50" s="533">
        <f t="shared" si="54"/>
        <v>30.415421686746992</v>
      </c>
      <c r="AL50" s="533">
        <f t="shared" si="46"/>
        <v>44.222541713981457</v>
      </c>
      <c r="AN50" s="534">
        <f>SUMPRODUCT(K50:N50,'Electrification of Gas End Uses'!$D$5:$G$5)</f>
        <v>6.1671237600495097</v>
      </c>
      <c r="AO50" s="521">
        <f>SUMPRODUCT(K50:N50,'Electrification of Gas End Uses'!$D$6:$G$6)</f>
        <v>21.199237831274594</v>
      </c>
      <c r="AP50" s="540">
        <f>(AH$57+IF(AH50&gt;(AH$60),AH50-AH$60,0))*(1+$AH$59)/'Electrification of Gas End Uses'!$D$12</f>
        <v>9.2957644739631409</v>
      </c>
      <c r="AQ50" s="541">
        <f t="shared" si="47"/>
        <v>0</v>
      </c>
    </row>
    <row r="51" spans="1:43" ht="14.25" x14ac:dyDescent="0.2">
      <c r="B51" s="367" t="str">
        <f>'Typology Baseline - climate adj'!A51</f>
        <v>Religious worship</v>
      </c>
      <c r="C51" s="525">
        <f t="shared" si="27"/>
        <v>1068166</v>
      </c>
      <c r="D51" s="526" t="b">
        <f t="shared" si="28"/>
        <v>0</v>
      </c>
      <c r="E51" s="526" t="str">
        <f t="shared" si="29"/>
        <v>CBECS</v>
      </c>
      <c r="F51" s="617">
        <f t="shared" si="30"/>
        <v>33.877366214852543</v>
      </c>
      <c r="G51" s="531">
        <f>IF(D51,D27,'Typology Baseline - climate adj'!H51*$I$57+'Typology Baseline - climate adj'!I51)</f>
        <v>15.466265060240964</v>
      </c>
      <c r="H51" s="531">
        <f>IF(D51,C27,SUM('Typology Baseline - climate adj'!C51*$K$57*$K$58*G27,'Typology Baseline - climate adj'!$D51*H27,'Typology Baseline - climate adj'!$E51:$F51))</f>
        <v>18.411101154611575</v>
      </c>
      <c r="I51" s="531">
        <f>'Typology Baseline - climate adj'!H52*$I$57/'Typology Baseline - climate adj'!G52*G51</f>
        <v>2.2759648410340056</v>
      </c>
      <c r="J51" s="531">
        <f t="shared" si="31"/>
        <v>13.190300219206959</v>
      </c>
      <c r="K51" s="531">
        <f>IF(G27,'Typology Baseline - climate adj'!C51*$K$57*H51/SUM('Typology Baseline - climate adj'!C51*$K$57,'Typology Baseline - climate adj'!$D51:$F51),0)</f>
        <v>12.897507518129112</v>
      </c>
      <c r="L51" s="531">
        <f>IF(H27,($H51-$K51)/SUM('Typology Baseline - climate adj'!$D51:$F51)*'Typology Baseline - climate adj'!D51,0)</f>
        <v>0</v>
      </c>
      <c r="M51" s="531">
        <f>IF('Typology Baseline - climate adj'!E51=0,0,($H51-$K51-$L51)/SUM('Typology Baseline - climate adj'!$E51:$F51)*'Typology Baseline - climate adj'!E51)</f>
        <v>5.5135936364824634</v>
      </c>
      <c r="N51" s="618">
        <f>IF('Typology Baseline - climate adj'!F51=0,0,($H51-$K51-$L51)/SUM('Typology Baseline - climate adj'!$E51:$F51)*'Typology Baseline - climate adj'!F51)</f>
        <v>0</v>
      </c>
      <c r="O51" s="612"/>
      <c r="P51" s="526"/>
      <c r="Q51" s="525">
        <f t="shared" si="32"/>
        <v>9.0282552626903776</v>
      </c>
      <c r="R51" s="525">
        <f t="shared" si="33"/>
        <v>0</v>
      </c>
      <c r="S51" s="525">
        <f t="shared" si="34"/>
        <v>5.5135936364824634</v>
      </c>
      <c r="T51" s="525">
        <f t="shared" si="35"/>
        <v>0</v>
      </c>
      <c r="U51" s="525"/>
      <c r="V51" s="525">
        <f t="shared" si="48"/>
        <v>14.541848899172841</v>
      </c>
      <c r="W51" s="533">
        <f t="shared" si="37"/>
        <v>10.826385542168675</v>
      </c>
      <c r="X51" s="533">
        <f t="shared" si="50"/>
        <v>25.368234441341514</v>
      </c>
      <c r="Y51" s="526"/>
      <c r="Z51" s="525">
        <f>SUMPRODUCT(Q51:T51,'Electrification of Gas End Uses'!$D$4:$G$4)</f>
        <v>6.2479327076164797</v>
      </c>
      <c r="AA51" s="533">
        <f t="shared" si="51"/>
        <v>10.826385542168675</v>
      </c>
      <c r="AB51" s="533">
        <f t="shared" si="52"/>
        <v>17.074318249785154</v>
      </c>
      <c r="AD51" s="525">
        <f t="shared" si="49"/>
        <v>9.0282552626903776</v>
      </c>
      <c r="AE51" s="538">
        <f t="shared" si="53"/>
        <v>0</v>
      </c>
      <c r="AF51" s="538">
        <f t="shared" si="42"/>
        <v>5.5135936364824634</v>
      </c>
      <c r="AG51" s="538">
        <f t="shared" si="26"/>
        <v>0</v>
      </c>
      <c r="AH51" s="538">
        <f t="shared" si="43"/>
        <v>9.2332101534448707</v>
      </c>
      <c r="AI51" s="539">
        <f t="shared" si="44"/>
        <v>1.5931753887238038</v>
      </c>
      <c r="AJ51" s="525">
        <f>SUMPRODUCT(AD51:AG51,'Electrification of Gas End Uses'!$D$4:$G$4)</f>
        <v>6.2479327076164797</v>
      </c>
      <c r="AK51" s="533">
        <f t="shared" si="54"/>
        <v>10.826385542168675</v>
      </c>
      <c r="AL51" s="533">
        <f t="shared" si="46"/>
        <v>17.074318249785154</v>
      </c>
      <c r="AN51" s="534">
        <f>SUMPRODUCT(K51:N51,'Electrification of Gas End Uses'!$D$5:$G$5)</f>
        <v>5.4592162723573532</v>
      </c>
      <c r="AO51" s="521">
        <f>SUMPRODUCT(K51:N51,'Electrification of Gas End Uses'!$D$6:$G$6)</f>
        <v>17.257616042438269</v>
      </c>
      <c r="AP51" s="540">
        <f>(AH$57+IF(AH51&gt;(AH$60),AH51-AH$60,0))*(1+$AH$59)/'Electrification of Gas End Uses'!$D$12</f>
        <v>3.2456040613779478</v>
      </c>
      <c r="AQ51" s="541">
        <f t="shared" si="47"/>
        <v>0</v>
      </c>
    </row>
    <row r="52" spans="1:43" ht="14.25" x14ac:dyDescent="0.2">
      <c r="B52" s="367" t="str">
        <f>'Typology Baseline - climate adj'!A52</f>
        <v>Service</v>
      </c>
      <c r="C52" s="525">
        <f t="shared" si="27"/>
        <v>2677012</v>
      </c>
      <c r="D52" s="526" t="b">
        <f t="shared" si="28"/>
        <v>0</v>
      </c>
      <c r="E52" s="526" t="str">
        <f t="shared" si="29"/>
        <v>CBECS</v>
      </c>
      <c r="F52" s="617">
        <f t="shared" si="30"/>
        <v>58.373691350391809</v>
      </c>
      <c r="G52" s="531">
        <f>IF(D52,D28,'Typology Baseline - climate adj'!H52*$I$57+'Typology Baseline - climate adj'!I52)</f>
        <v>25.181927710843372</v>
      </c>
      <c r="H52" s="531">
        <f>IF(D52,C28,SUM('Typology Baseline - climate adj'!C52*$K$57*$K$58*G28,'Typology Baseline - climate adj'!$D52*H28,'Typology Baseline - climate adj'!$E52:$F52))</f>
        <v>33.191763639548441</v>
      </c>
      <c r="I52" s="531">
        <f>'Typology Baseline - climate adj'!H53*$I$57/'Typology Baseline - climate adj'!G53*G52</f>
        <v>3.4701873620739128</v>
      </c>
      <c r="J52" s="531">
        <f t="shared" si="31"/>
        <v>21.71174034876946</v>
      </c>
      <c r="K52" s="531">
        <f>IF(G28,'Typology Baseline - climate adj'!C52*$K$57*H52/SUM('Typology Baseline - climate adj'!C52*$K$57,'Typology Baseline - climate adj'!$D52:$F52),0)</f>
        <v>18.374662915326564</v>
      </c>
      <c r="L52" s="531">
        <f>IF(H28,($H52-$K52)/SUM('Typology Baseline - climate adj'!$D52:$F52)*'Typology Baseline - climate adj'!D52,0)</f>
        <v>14.817100724221877</v>
      </c>
      <c r="M52" s="531">
        <f>IF('Typology Baseline - climate adj'!E52=0,0,($H52-$K52-$L52)/SUM('Typology Baseline - climate adj'!$E52:$F52)*'Typology Baseline - climate adj'!E52)</f>
        <v>0</v>
      </c>
      <c r="N52" s="618">
        <f>IF('Typology Baseline - climate adj'!F52=0,0,($H52-$K52-$L52)/SUM('Typology Baseline - climate adj'!$E52:$F52)*'Typology Baseline - climate adj'!F52)</f>
        <v>0</v>
      </c>
      <c r="O52" s="612"/>
      <c r="P52" s="526"/>
      <c r="Q52" s="525">
        <f t="shared" si="32"/>
        <v>12.862264040728594</v>
      </c>
      <c r="R52" s="525">
        <f t="shared" si="33"/>
        <v>14.817100724221877</v>
      </c>
      <c r="S52" s="525">
        <f t="shared" si="34"/>
        <v>0</v>
      </c>
      <c r="T52" s="525">
        <f t="shared" si="35"/>
        <v>0</v>
      </c>
      <c r="U52" s="525"/>
      <c r="V52" s="525">
        <f t="shared" si="48"/>
        <v>27.679364764950471</v>
      </c>
      <c r="W52" s="533">
        <f t="shared" si="37"/>
        <v>17.627349397590358</v>
      </c>
      <c r="X52" s="533">
        <f t="shared" si="50"/>
        <v>45.306714162540828</v>
      </c>
      <c r="Y52" s="526"/>
      <c r="Z52" s="525">
        <f>SUMPRODUCT(Q52:T52,'Electrification of Gas End Uses'!$D$4:$G$4)</f>
        <v>10.177465698396645</v>
      </c>
      <c r="AA52" s="533">
        <f t="shared" si="51"/>
        <v>17.627349397590358</v>
      </c>
      <c r="AB52" s="533">
        <f t="shared" si="52"/>
        <v>27.804815095987003</v>
      </c>
      <c r="AD52" s="525">
        <f t="shared" si="49"/>
        <v>9.8999999999999986</v>
      </c>
      <c r="AE52" s="538">
        <f t="shared" si="53"/>
        <v>14.817100724221877</v>
      </c>
      <c r="AF52" s="538">
        <f t="shared" si="53"/>
        <v>0</v>
      </c>
      <c r="AG52" s="538">
        <f t="shared" si="26"/>
        <v>0</v>
      </c>
      <c r="AH52" s="538">
        <f t="shared" si="43"/>
        <v>15.198218244138621</v>
      </c>
      <c r="AI52" s="539">
        <f t="shared" si="44"/>
        <v>2.4291311534517388</v>
      </c>
      <c r="AJ52" s="525">
        <f>SUMPRODUCT(AD52:AG52,'Electrification of Gas End Uses'!$D$4:$G$4)</f>
        <v>9.2295412053634944</v>
      </c>
      <c r="AK52" s="533">
        <f t="shared" si="54"/>
        <v>17.627349397590361</v>
      </c>
      <c r="AL52" s="533">
        <f t="shared" si="46"/>
        <v>26.856890602953854</v>
      </c>
      <c r="AN52" s="534">
        <f>SUMPRODUCT(K52:N52,'Electrification of Gas End Uses'!$D$5:$G$5)</f>
        <v>3.3607953616693189</v>
      </c>
      <c r="AO52" s="521">
        <f>SUMPRODUCT(K52:N52,'Electrification of Gas End Uses'!$D$6:$G$6)</f>
        <v>22.317898375037331</v>
      </c>
      <c r="AP52" s="540">
        <f>(AH$57+IF(AH52&gt;(AH$60),AH52-AH$60,0))*(1+$AH$59)/'Electrification of Gas End Uses'!$D$12</f>
        <v>5.6316072976554477</v>
      </c>
      <c r="AQ52" s="541">
        <f t="shared" si="47"/>
        <v>0</v>
      </c>
    </row>
    <row r="53" spans="1:43" ht="14.25" x14ac:dyDescent="0.2">
      <c r="B53" s="367" t="str">
        <f>'Typology Baseline - climate adj'!A53</f>
        <v>Warehouse and storage</v>
      </c>
      <c r="C53" s="525">
        <f t="shared" si="27"/>
        <v>5336347</v>
      </c>
      <c r="D53" s="526" t="b">
        <f t="shared" si="28"/>
        <v>0</v>
      </c>
      <c r="E53" s="526" t="str">
        <f t="shared" si="29"/>
        <v>CBECS</v>
      </c>
      <c r="F53" s="617">
        <f t="shared" si="30"/>
        <v>39.748177017063668</v>
      </c>
      <c r="G53" s="531">
        <f>IF(D53,D29,'Typology Baseline - climate adj'!H53*$I$57+'Typology Baseline - climate adj'!I53)</f>
        <v>21.290361445783137</v>
      </c>
      <c r="H53" s="531">
        <f>IF(D53,C29,SUM('Typology Baseline - climate adj'!C53*$K$57*$K$58*G29,'Typology Baseline - climate adj'!$D53*H29,'Typology Baseline - climate adj'!$E53:$F53))</f>
        <v>18.457815571280534</v>
      </c>
      <c r="I53" s="531">
        <f>'Typology Baseline - climate adj'!H48*$I$57/'Typology Baseline - climate adj'!G48*G53</f>
        <v>2.8456023857282071</v>
      </c>
      <c r="J53" s="531">
        <f t="shared" si="31"/>
        <v>18.444759060054931</v>
      </c>
      <c r="K53" s="531">
        <f>IF(G29,'Typology Baseline - climate adj'!C53*$K$57*H53/SUM('Typology Baseline - climate adj'!C53*$K$57,'Typology Baseline - climate adj'!$D53:$F53),0)</f>
        <v>8.6601238244137964</v>
      </c>
      <c r="L53" s="531">
        <f>IF(H29,($H53-$K53)/SUM('Typology Baseline - climate adj'!$D53:$F53)*'Typology Baseline - climate adj'!D53,0)</f>
        <v>2.8700309157488424</v>
      </c>
      <c r="M53" s="531">
        <f>IF('Typology Baseline - climate adj'!E53=0,0,($H53-$K53-$L53)/SUM('Typology Baseline - climate adj'!$E53:$F53)*'Typology Baseline - climate adj'!E53)</f>
        <v>0</v>
      </c>
      <c r="N53" s="618">
        <f>IF('Typology Baseline - climate adj'!F53=0,0,($H53-$K53-$L53)/SUM('Typology Baseline - climate adj'!$E53:$F53)*'Typology Baseline - climate adj'!F53)</f>
        <v>6.9276608311178958</v>
      </c>
      <c r="O53" s="612"/>
      <c r="P53" s="526"/>
      <c r="Q53" s="525">
        <f t="shared" si="32"/>
        <v>6.0620866770896571</v>
      </c>
      <c r="R53" s="525">
        <f t="shared" si="33"/>
        <v>2.8700309157488424</v>
      </c>
      <c r="S53" s="525">
        <f t="shared" si="34"/>
        <v>0</v>
      </c>
      <c r="T53" s="525">
        <f t="shared" si="35"/>
        <v>6.9276608311178958</v>
      </c>
      <c r="U53" s="525"/>
      <c r="V53" s="525">
        <f t="shared" si="48"/>
        <v>15.859778423956396</v>
      </c>
      <c r="W53" s="533">
        <f t="shared" si="37"/>
        <v>14.903253012048195</v>
      </c>
      <c r="X53" s="533">
        <f t="shared" si="50"/>
        <v>30.763031436004589</v>
      </c>
      <c r="Y53" s="526"/>
      <c r="Z53" s="525">
        <f>SUMPRODUCT(Q53:T53,'Electrification of Gas End Uses'!$D$4:$G$4)</f>
        <v>9.2483885176127405</v>
      </c>
      <c r="AA53" s="533">
        <f t="shared" si="51"/>
        <v>14.903253012048195</v>
      </c>
      <c r="AB53" s="533">
        <f t="shared" si="52"/>
        <v>24.151641529660935</v>
      </c>
      <c r="AD53" s="525">
        <f t="shared" si="49"/>
        <v>6.0620866770896571</v>
      </c>
      <c r="AE53" s="538">
        <f t="shared" si="53"/>
        <v>2.8700309157488424</v>
      </c>
      <c r="AF53" s="538">
        <f t="shared" si="53"/>
        <v>0</v>
      </c>
      <c r="AG53" s="538">
        <f t="shared" si="26"/>
        <v>6.9276608311178958</v>
      </c>
      <c r="AH53" s="538">
        <f t="shared" si="43"/>
        <v>12.911331342038451</v>
      </c>
      <c r="AI53" s="539">
        <f t="shared" si="44"/>
        <v>1.9919216700097448</v>
      </c>
      <c r="AJ53" s="525">
        <f>SUMPRODUCT(AD53:AG53,'Electrification of Gas End Uses'!$D$4:$G$4)</f>
        <v>9.2483885176127405</v>
      </c>
      <c r="AK53" s="533">
        <f t="shared" si="54"/>
        <v>14.903253012048197</v>
      </c>
      <c r="AL53" s="533">
        <f t="shared" si="46"/>
        <v>24.151641529660935</v>
      </c>
      <c r="AN53" s="534">
        <f>SUMPRODUCT(K53:N53,'Electrification of Gas End Uses'!$D$5:$G$5)</f>
        <v>5.5897350219014461</v>
      </c>
      <c r="AO53" s="521">
        <f>SUMPRODUCT(K53:N53,'Electrification of Gas End Uses'!$D$6:$G$6)</f>
        <v>13.709236729360988</v>
      </c>
      <c r="AP53" s="540">
        <f>(AH$57+IF(AH53&gt;(AH$60),AH53-AH$60,0))*(1+$AH$59)/'Electrification of Gas End Uses'!$D$12</f>
        <v>4.71685253681538</v>
      </c>
      <c r="AQ53" s="541">
        <f t="shared" si="47"/>
        <v>0</v>
      </c>
    </row>
    <row r="54" spans="1:43" ht="15" thickBot="1" x14ac:dyDescent="0.25">
      <c r="B54" s="367" t="str">
        <f>'Typology Baseline - climate adj'!A54</f>
        <v>Vacant</v>
      </c>
      <c r="C54" s="525">
        <f t="shared" si="27"/>
        <v>15347842</v>
      </c>
      <c r="D54" s="526" t="b">
        <f t="shared" si="28"/>
        <v>0</v>
      </c>
      <c r="E54" s="526" t="str">
        <f t="shared" si="29"/>
        <v>CBECS</v>
      </c>
      <c r="F54" s="619">
        <f t="shared" si="30"/>
        <v>23.521600451803089</v>
      </c>
      <c r="G54" s="620">
        <f>IF(D54,D30,'Typology Baseline - climate adj'!H54*$I$57+'Typology Baseline - climate adj'!I54)</f>
        <v>14.434939759036144</v>
      </c>
      <c r="H54" s="620">
        <f>IF(D54,C30,SUM('Typology Baseline - climate adj'!C54*$K$57*$K$58*G30,'Typology Baseline - climate adj'!$D54*H30,'Typology Baseline - climate adj'!$E54:$F54))</f>
        <v>9.0866606927669462</v>
      </c>
      <c r="I54" s="620">
        <f>'Typology Baseline - climate adj'!H54*$I$57/'Typology Baseline - climate adj'!G54*G54</f>
        <v>1.9000502625204529</v>
      </c>
      <c r="J54" s="620">
        <f t="shared" si="31"/>
        <v>12.534889496515691</v>
      </c>
      <c r="K54" s="620">
        <f>IF(G30,'Typology Baseline - climate adj'!C54*$K$57*H54/SUM('Typology Baseline - climate adj'!C54*$K$57,'Typology Baseline - climate adj'!$D54:$F54),0)</f>
        <v>7.7128346519461211</v>
      </c>
      <c r="L54" s="620">
        <f>IF(H30,($H54-$K54)/SUM('Typology Baseline - climate adj'!$D54:$F54)*'Typology Baseline - climate adj'!D54,0)</f>
        <v>1.3738260408208252</v>
      </c>
      <c r="M54" s="620">
        <f>IF('Typology Baseline - climate adj'!E54=0,0,($H54-$K54-$L54)/SUM('Typology Baseline - climate adj'!$E54:$F54)*'Typology Baseline - climate adj'!E54)</f>
        <v>0</v>
      </c>
      <c r="N54" s="621">
        <f>IF('Typology Baseline - climate adj'!F54=0,0,($H54-$K54-$L54)/SUM('Typology Baseline - climate adj'!$E54:$F54)*'Typology Baseline - climate adj'!F54)</f>
        <v>0</v>
      </c>
      <c r="O54" s="612"/>
      <c r="P54" s="526"/>
      <c r="Q54" s="525">
        <f t="shared" si="32"/>
        <v>5.3989842563622847</v>
      </c>
      <c r="R54" s="525">
        <f t="shared" si="33"/>
        <v>1.3738260408208252</v>
      </c>
      <c r="S54" s="525">
        <f t="shared" si="34"/>
        <v>0</v>
      </c>
      <c r="T54" s="525">
        <f t="shared" si="35"/>
        <v>0</v>
      </c>
      <c r="U54" s="525"/>
      <c r="V54" s="525">
        <f t="shared" si="48"/>
        <v>6.7728102971831099</v>
      </c>
      <c r="W54" s="533">
        <f t="shared" si="37"/>
        <v>10.1044578313253</v>
      </c>
      <c r="X54" s="533">
        <f t="shared" si="50"/>
        <v>16.877268128508412</v>
      </c>
      <c r="Y54" s="526"/>
      <c r="Z54" s="525">
        <f>SUMPRODUCT(Q54:T54,'Electrification of Gas End Uses'!$D$4:$G$4)</f>
        <v>2.2896947060080866</v>
      </c>
      <c r="AA54" s="533">
        <f t="shared" si="51"/>
        <v>10.1044578313253</v>
      </c>
      <c r="AB54" s="533">
        <f t="shared" si="52"/>
        <v>12.394152537333387</v>
      </c>
      <c r="AD54" s="525">
        <f t="shared" si="49"/>
        <v>5.3989842563622847</v>
      </c>
      <c r="AE54" s="538">
        <f t="shared" si="53"/>
        <v>1.3738260408208252</v>
      </c>
      <c r="AF54" s="538">
        <f t="shared" si="53"/>
        <v>0</v>
      </c>
      <c r="AG54" s="538">
        <f t="shared" si="26"/>
        <v>0</v>
      </c>
      <c r="AH54" s="538">
        <f t="shared" si="43"/>
        <v>8.7744226475609821</v>
      </c>
      <c r="AI54" s="539">
        <f t="shared" si="44"/>
        <v>1.330035183764317</v>
      </c>
      <c r="AJ54" s="525">
        <f>SUMPRODUCT(AD54:AG54,'Electrification of Gas End Uses'!$D$4:$G$4)</f>
        <v>2.2896947060080866</v>
      </c>
      <c r="AK54" s="533">
        <f t="shared" si="54"/>
        <v>10.104457831325298</v>
      </c>
      <c r="AL54" s="533">
        <f t="shared" si="46"/>
        <v>12.394152537333385</v>
      </c>
      <c r="AN54" s="534">
        <f>SUMPRODUCT(K54:N54,'Electrification of Gas End Uses'!$D$5:$G$5)</f>
        <v>0.90783552034539539</v>
      </c>
      <c r="AO54" s="521">
        <f>SUMPRODUCT(K54:N54,'Electrification of Gas End Uses'!$D$6:$G$6)</f>
        <v>8.2532520646101855</v>
      </c>
      <c r="AP54" s="540">
        <f>(AH$57+IF(AH54&gt;(AH$60),AH54-AH$60,0))*(1+$AH$59)/'Electrification of Gas End Uses'!$D$12</f>
        <v>3.0620890590243923</v>
      </c>
      <c r="AQ54" s="541">
        <f t="shared" si="47"/>
        <v>0</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0.87951807228915657</v>
      </c>
      <c r="J57" s="533"/>
      <c r="K57" s="535">
        <f>INDEX('Typology Baseline - climate adj'!$B$4:$B$8,MATCH(C3,'Typology Baseline - climate adj'!A4:A8,0))</f>
        <v>0.52398523985239842</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0.97797420081682762</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row r="65" spans="1:43" ht="14.25" x14ac:dyDescent="0.2">
      <c r="A65" s="138"/>
      <c r="B65" s="138"/>
      <c r="C65" s="138"/>
      <c r="D65" s="138"/>
      <c r="E65" s="138"/>
      <c r="F65" s="526"/>
      <c r="G65" s="526"/>
      <c r="H65" s="526"/>
      <c r="K65" s="138"/>
      <c r="L65" s="138"/>
      <c r="M65" s="138"/>
      <c r="N65" s="138"/>
      <c r="O65" s="138"/>
      <c r="P65" s="138"/>
      <c r="Q65" s="138"/>
      <c r="R65" s="138"/>
      <c r="S65" s="138"/>
      <c r="T65" s="138"/>
      <c r="U65" s="138"/>
      <c r="V65" s="138"/>
      <c r="W65" s="138"/>
      <c r="Z65" s="526"/>
      <c r="AA65" s="526"/>
      <c r="AB65" s="526"/>
      <c r="AC65" s="526"/>
      <c r="AD65" s="138"/>
      <c r="AE65" s="138"/>
      <c r="AJ65" s="138"/>
      <c r="AK65" s="526"/>
      <c r="AL65" s="526"/>
    </row>
    <row r="66" spans="1:43" ht="14.25" x14ac:dyDescent="0.2">
      <c r="A66" s="138"/>
      <c r="B66" s="138"/>
      <c r="C66" s="138"/>
      <c r="D66" s="138"/>
      <c r="E66" s="138"/>
      <c r="F66" s="536"/>
      <c r="G66" s="509"/>
      <c r="H66" s="512"/>
      <c r="I66" s="537"/>
      <c r="J66" s="537"/>
      <c r="K66" s="537"/>
      <c r="L66" s="537"/>
      <c r="M66" s="537"/>
      <c r="N66" s="537"/>
      <c r="O66" s="537"/>
      <c r="P66" s="537"/>
      <c r="Q66" s="537"/>
      <c r="R66" s="537"/>
      <c r="S66" s="138"/>
      <c r="T66" s="537"/>
      <c r="U66" s="537"/>
      <c r="V66" s="537"/>
      <c r="W66" s="138"/>
      <c r="Z66" s="529"/>
      <c r="AA66" s="529"/>
      <c r="AB66" s="529"/>
      <c r="AC66" s="529"/>
      <c r="AD66" s="537"/>
      <c r="AE66" s="537"/>
      <c r="AF66" s="537"/>
      <c r="AG66" s="537"/>
      <c r="AH66" s="537"/>
      <c r="AJ66" s="529"/>
      <c r="AK66" s="529"/>
      <c r="AL66" s="529"/>
      <c r="AO66" s="529"/>
    </row>
    <row r="67" spans="1:43" ht="14.25" x14ac:dyDescent="0.2">
      <c r="A67" s="526"/>
      <c r="C67" s="526"/>
      <c r="D67" s="530"/>
      <c r="E67" s="526"/>
      <c r="F67" s="506"/>
      <c r="G67" s="506"/>
      <c r="H67" s="506"/>
      <c r="I67" s="538"/>
      <c r="J67" s="538"/>
      <c r="K67" s="538"/>
      <c r="L67" s="538"/>
      <c r="M67" s="538"/>
      <c r="N67" s="538"/>
      <c r="O67" s="538"/>
      <c r="P67" s="538"/>
      <c r="Q67" s="538"/>
      <c r="R67" s="538"/>
      <c r="S67" s="138"/>
      <c r="T67" s="416"/>
      <c r="U67" s="416"/>
      <c r="V67" s="533"/>
      <c r="W67" s="138"/>
      <c r="Z67" s="525"/>
      <c r="AA67" s="533"/>
      <c r="AB67" s="533"/>
      <c r="AC67" s="533"/>
      <c r="AD67" s="525"/>
      <c r="AE67" s="538"/>
      <c r="AF67" s="538"/>
      <c r="AG67" s="538"/>
      <c r="AH67" s="539"/>
      <c r="AJ67" s="525"/>
      <c r="AK67" s="533"/>
      <c r="AL67" s="533"/>
      <c r="AN67" s="534"/>
      <c r="AO67" s="534"/>
      <c r="AP67" s="540"/>
      <c r="AQ67" s="541"/>
    </row>
    <row r="68" spans="1:43" ht="14.25" x14ac:dyDescent="0.2">
      <c r="A68" s="526"/>
      <c r="Q68" s="538"/>
      <c r="R68" s="538"/>
      <c r="S68" s="138"/>
      <c r="T68" s="416"/>
      <c r="U68" s="416"/>
      <c r="V68" s="533"/>
      <c r="W68" s="138"/>
      <c r="Z68" s="525"/>
      <c r="AA68" s="533"/>
      <c r="AB68" s="533"/>
      <c r="AC68" s="533"/>
      <c r="AD68" s="525"/>
      <c r="AE68" s="538"/>
      <c r="AF68" s="538"/>
      <c r="AG68" s="538"/>
      <c r="AH68" s="539"/>
      <c r="AJ68" s="525"/>
      <c r="AK68" s="533"/>
      <c r="AL68" s="533"/>
      <c r="AN68" s="534"/>
      <c r="AO68" s="534"/>
      <c r="AP68" s="540"/>
      <c r="AQ68" s="541"/>
    </row>
    <row r="69" spans="1:43" ht="14.25" x14ac:dyDescent="0.2">
      <c r="A69" s="526"/>
      <c r="Q69" s="538"/>
      <c r="R69" s="538"/>
      <c r="S69" s="138"/>
      <c r="T69" s="416"/>
      <c r="U69" s="416"/>
      <c r="V69" s="533"/>
      <c r="W69" s="138"/>
      <c r="Z69" s="525"/>
      <c r="AA69" s="533"/>
      <c r="AB69" s="533"/>
      <c r="AC69" s="533"/>
      <c r="AD69" s="525"/>
      <c r="AE69" s="538"/>
      <c r="AF69" s="538"/>
      <c r="AG69" s="538"/>
      <c r="AH69" s="539"/>
      <c r="AJ69" s="525"/>
      <c r="AK69" s="533"/>
      <c r="AL69" s="533"/>
      <c r="AN69" s="534"/>
      <c r="AO69" s="534"/>
      <c r="AP69" s="540"/>
      <c r="AQ69" s="541"/>
    </row>
    <row r="70" spans="1:43" ht="14.25" x14ac:dyDescent="0.2">
      <c r="A70" s="526"/>
      <c r="Q70" s="538"/>
      <c r="R70" s="538"/>
      <c r="T70" s="416"/>
      <c r="U70" s="416"/>
      <c r="V70" s="533"/>
      <c r="Z70" s="525"/>
      <c r="AA70" s="533"/>
      <c r="AB70" s="533"/>
      <c r="AC70" s="533"/>
      <c r="AD70" s="525"/>
      <c r="AE70" s="538"/>
      <c r="AF70" s="538"/>
      <c r="AG70" s="538"/>
      <c r="AH70" s="539"/>
      <c r="AJ70" s="525"/>
      <c r="AK70" s="533"/>
      <c r="AL70" s="533"/>
      <c r="AN70" s="534"/>
      <c r="AO70" s="534"/>
      <c r="AP70" s="540"/>
      <c r="AQ70" s="541"/>
    </row>
  </sheetData>
  <mergeCells count="6">
    <mergeCell ref="N10:P10"/>
    <mergeCell ref="Q10:S10"/>
    <mergeCell ref="T10:V10"/>
    <mergeCell ref="I34:J34"/>
    <mergeCell ref="K34:N34"/>
    <mergeCell ref="K10:M10"/>
  </mergeCells>
  <conditionalFormatting sqref="Z15:AB30">
    <cfRule type="dataBar" priority="3">
      <dataBar>
        <cfvo type="min"/>
        <cfvo type="max"/>
        <color rgb="FF63C384"/>
      </dataBar>
      <extLst>
        <ext xmlns:x14="http://schemas.microsoft.com/office/spreadsheetml/2009/9/main" uri="{B025F937-C7B1-47D3-B67F-A62EFF666E3E}">
          <x14:id>{79884BCE-BABD-4B6C-8522-D241178B8850}</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{87CB8880-583F-4A69-968C-DD17372B86CF}</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{2F767A90-5993-4DF3-9768-A9ED38ECB13A}</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{50ADE9FD-6A0C-4786-A8E0-48C60FDFCFEC}</x14:id>
        </ext>
      </extLst>
    </cfRule>
  </conditionalFormatting>
  <dataValidations count="6">
    <dataValidation allowBlank="1" showErrorMessage="1" sqref="C12:D30" xr:uid="{24A2469D-E81F-45CF-960B-900B1BF2DCA7}"/>
    <dataValidation allowBlank="1" showErrorMessage="1" prompt="If energy data is available for these typologies, enter it here. For any typologies where energy data is not available, CBECS data will be used for baseline information. " sqref="F12:F30" xr:uid="{FD78E647-3778-4C02-A757-F78FD15D93CC}"/>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045419C0-BC4F-4ACB-AC1E-ADBA2B415E2C}">
      <formula1>-1</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1752BB89-545C-4E24-8496-0622FD275A07}">
      <formula1>-1</formula1>
      <formula2>1</formula2>
    </dataValidation>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9B115461-D364-45B7-80CA-4586A3DA4257}">
      <formula1>0</formula1>
      <formula2>1</formula2>
    </dataValidation>
    <dataValidation allowBlank="1" showInputMessage="1" showErrorMessage="1" prompt="source (page 7, figure 1): https://portfoliomanager.energystar.gov/pdf/reference/Emissions.pdf" sqref="Z3" xr:uid="{DEB45112-44B9-4BFC-A840-269FF6986A7A}"/>
  </dataValidations>
  <pageMargins left="0.25" right="0.25" top="0.75" bottom="0.75" header="0.3" footer="0.3"/>
  <pageSetup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79884BCE-BABD-4B6C-8522-D241178B8850}">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87CB8880-583F-4A69-968C-DD17372B86CF}">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2F767A90-5993-4DF3-9768-A9ED38ECB13A}">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50ADE9FD-6A0C-4786-A8E0-48C60FDFCFEC}">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xr:uid="{D27F7E7C-2C06-4C90-8282-A15D9BE31ECA}">
          <x14:formula1>
            <xm:f>'Typology Baseline - climate adj'!$A$56:$A$57</xm:f>
          </x14:formula1>
          <xm:sqref>G12:H30</xm:sqref>
        </x14:dataValidation>
        <x14:dataValidation type="list" allowBlank="1" showInputMessage="1" showErrorMessage="1" xr:uid="{B761B751-4299-4AA1-A0B3-42D343B4F17D}">
          <x14:formula1>
            <xm:f>'Typology Baseline - climate adj'!$A$4:$A$8</xm:f>
          </x14:formula1>
          <xm:sqref>C3</xm:sqref>
        </x14:dataValidation>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A22F73DA-613B-421A-B35B-499E486E1E47}">
          <x14:formula1>
            <xm:f>'GHG Coefficient Lookup'!$AD$3:$AD$6</xm:f>
          </x14:formula1>
          <xm:sqref>C4</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3A370FF7-A493-44F7-BB17-6F80270EBC1E}">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'Santa Mon'!AK12:AN12</xm:f>
              <xm:sqref>W12</xm:sqref>
            </x14:sparkline>
            <x14:sparkline>
              <xm:f>'Santa Mon'!AK13:AN13</xm:f>
              <xm:sqref>W13</xm:sqref>
            </x14:sparkline>
            <x14:sparkline>
              <xm:f>'Santa Mon'!AK14:AN14</xm:f>
              <xm:sqref>W14</xm:sqref>
            </x14:sparkline>
            <x14:sparkline>
              <xm:f>'Santa Mon'!AK15:AN15</xm:f>
              <xm:sqref>W15</xm:sqref>
            </x14:sparkline>
            <x14:sparkline>
              <xm:f>'Santa Mon'!AK16:AN16</xm:f>
              <xm:sqref>W16</xm:sqref>
            </x14:sparkline>
            <x14:sparkline>
              <xm:f>'Santa Mon'!AK17:AN17</xm:f>
              <xm:sqref>W17</xm:sqref>
            </x14:sparkline>
            <x14:sparkline>
              <xm:f>'Santa Mon'!AK18:AN18</xm:f>
              <xm:sqref>W18</xm:sqref>
            </x14:sparkline>
            <x14:sparkline>
              <xm:f>'Santa Mon'!AK19:AN19</xm:f>
              <xm:sqref>W19</xm:sqref>
            </x14:sparkline>
            <x14:sparkline>
              <xm:f>'Santa Mon'!AK20:AN20</xm:f>
              <xm:sqref>W20</xm:sqref>
            </x14:sparkline>
            <x14:sparkline>
              <xm:f>'Santa Mon'!AK21:AN21</xm:f>
              <xm:sqref>W21</xm:sqref>
            </x14:sparkline>
            <x14:sparkline>
              <xm:f>'Santa Mon'!AK22:AN22</xm:f>
              <xm:sqref>W22</xm:sqref>
            </x14:sparkline>
            <x14:sparkline>
              <xm:f>'Santa Mon'!AK23:AN23</xm:f>
              <xm:sqref>W23</xm:sqref>
            </x14:sparkline>
            <x14:sparkline>
              <xm:f>'Santa Mon'!AK24:AN24</xm:f>
              <xm:sqref>W24</xm:sqref>
            </x14:sparkline>
            <x14:sparkline>
              <xm:f>'Santa Mon'!AK25:AN25</xm:f>
              <xm:sqref>W25</xm:sqref>
            </x14:sparkline>
            <x14:sparkline>
              <xm:f>'Santa Mon'!AK26:AN26</xm:f>
              <xm:sqref>W26</xm:sqref>
            </x14:sparkline>
            <x14:sparkline>
              <xm:f>'Santa Mon'!AK27:AN27</xm:f>
              <xm:sqref>W27</xm:sqref>
            </x14:sparkline>
            <x14:sparkline>
              <xm:f>'Santa Mon'!AK28:AN28</xm:f>
              <xm:sqref>W28</xm:sqref>
            </x14:sparkline>
            <x14:sparkline>
              <xm:f>'Santa Mon'!AK29:AN29</xm:f>
              <xm:sqref>W29</xm:sqref>
            </x14:sparkline>
            <x14:sparkline>
              <xm:f>'Santa Mon'!AK30:AN30</xm:f>
              <xm:sqref>W30</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3C161-C900-47EB-AEEB-39C74BF1CD82}">
  <sheetPr>
    <tabColor theme="4" tint="0.79998168889431442"/>
  </sheetPr>
  <dimension ref="A1:AQ64"/>
  <sheetViews>
    <sheetView tabSelected="1" topLeftCell="K10" zoomScale="70" zoomScaleNormal="70" workbookViewId="0">
      <selection activeCell="Y12" sqref="Y12:AG30"/>
    </sheetView>
  </sheetViews>
  <sheetFormatPr defaultRowHeight="12.75" x14ac:dyDescent="0.2"/>
  <cols>
    <col min="1" max="1" width="10" style="495" customWidth="1"/>
    <col min="2" max="2" width="51.85546875" style="495" customWidth="1"/>
    <col min="3" max="3" width="15.85546875" style="495" customWidth="1"/>
    <col min="4" max="4" width="11.28515625" style="495" bestFit="1" customWidth="1"/>
    <col min="5" max="6" width="15.7109375" style="495" bestFit="1" customWidth="1"/>
    <col min="7" max="7" width="16.42578125" style="495" customWidth="1"/>
    <col min="8" max="8" width="22.140625" style="495" customWidth="1"/>
    <col min="9" max="9" width="34.140625" style="495" customWidth="1"/>
    <col min="10" max="18" width="12.28515625" style="495" customWidth="1"/>
    <col min="19" max="19" width="9.140625" style="495"/>
    <col min="20" max="20" width="12.28515625" style="495" customWidth="1"/>
    <col min="21" max="21" width="11" style="495" bestFit="1" customWidth="1"/>
    <col min="22" max="22" width="17.42578125" style="495" customWidth="1"/>
    <col min="23" max="24" width="22.28515625" style="495" customWidth="1"/>
    <col min="25" max="25" width="12.140625" style="495" customWidth="1"/>
    <col min="26" max="26" width="9.85546875" style="495" customWidth="1"/>
    <col min="27" max="27" width="10.42578125" style="495" customWidth="1"/>
    <col min="28" max="28" width="20.7109375" style="495" customWidth="1"/>
    <col min="29" max="29" width="16" style="495" customWidth="1"/>
    <col min="30" max="30" width="11.7109375" style="495" customWidth="1"/>
    <col min="31" max="16384" width="9.140625" style="495"/>
  </cols>
  <sheetData>
    <row r="1" spans="2:40" ht="14.25" x14ac:dyDescent="0.2">
      <c r="B1" s="367" t="s">
        <v>446</v>
      </c>
    </row>
    <row r="2" spans="2:40" ht="18" x14ac:dyDescent="0.2">
      <c r="B2" s="496" t="s">
        <v>447</v>
      </c>
      <c r="C2" s="351" t="s">
        <v>409</v>
      </c>
      <c r="G2" s="128" t="s">
        <v>1550</v>
      </c>
      <c r="H2" s="128"/>
      <c r="J2" s="525"/>
      <c r="K2" s="525"/>
      <c r="Y2" s="371" t="s">
        <v>448</v>
      </c>
      <c r="Z2" s="610" t="s">
        <v>449</v>
      </c>
    </row>
    <row r="3" spans="2:40" ht="18" x14ac:dyDescent="0.25">
      <c r="B3" s="353" t="s">
        <v>450</v>
      </c>
      <c r="C3" s="352" t="s">
        <v>126</v>
      </c>
      <c r="D3" s="577" t="s">
        <v>451</v>
      </c>
      <c r="F3" s="615" t="s">
        <v>221</v>
      </c>
      <c r="G3" s="501">
        <v>0.3</v>
      </c>
      <c r="H3" s="263"/>
      <c r="Y3" s="610" t="s">
        <v>452</v>
      </c>
      <c r="Z3" s="495">
        <f>53.11/1000</f>
        <v>5.3109999999999997E-2</v>
      </c>
      <c r="AA3" s="138"/>
    </row>
    <row r="4" spans="2:40" ht="51" x14ac:dyDescent="0.25">
      <c r="B4" s="497" t="s">
        <v>453</v>
      </c>
      <c r="C4" s="396" t="str">
        <f>INDEX('Typology Baseline - climate adj'!$D4:$D$8,MATCH($C$3,'Typology Baseline - climate adj'!$A$4:$A$8,0))</f>
        <v>NYC</v>
      </c>
      <c r="F4" s="616" t="s">
        <v>510</v>
      </c>
      <c r="G4" s="501">
        <v>0.3</v>
      </c>
      <c r="H4" s="263"/>
      <c r="Y4" s="498" t="s">
        <v>454</v>
      </c>
      <c r="Z4" s="499">
        <f>INDEX(Readme!$K$30:$K$33,MATCH(C4,Readme!$D$30:$D$33,0))</f>
        <v>7.5999999999999998E-2</v>
      </c>
      <c r="AA4" s="500" t="s">
        <v>455</v>
      </c>
    </row>
    <row r="5" spans="2:40" ht="25.5" x14ac:dyDescent="0.25">
      <c r="B5" s="622"/>
      <c r="F5" s="616" t="s">
        <v>511</v>
      </c>
      <c r="G5" s="501">
        <v>0</v>
      </c>
      <c r="H5" s="263"/>
      <c r="Y5" s="498" t="s">
        <v>456</v>
      </c>
      <c r="Z5" s="499">
        <f>IF(Z4/2&lt;Z6,Z6,Z4/2)</f>
        <v>3.7999999999999999E-2</v>
      </c>
      <c r="AA5" s="224" t="str">
        <f>TEXT((Z4-Z5)/Z4,"##%")&amp;" lower than today"</f>
        <v>50% lower than today</v>
      </c>
    </row>
    <row r="6" spans="2:40" ht="38.25" x14ac:dyDescent="0.25">
      <c r="B6" s="622"/>
      <c r="F6" s="616" t="s">
        <v>512</v>
      </c>
      <c r="G6" s="501">
        <v>0</v>
      </c>
      <c r="H6" s="263"/>
      <c r="Y6" s="498" t="s">
        <v>457</v>
      </c>
      <c r="Z6" s="499">
        <f>Readme!L32</f>
        <v>2.6955815986857323E-3</v>
      </c>
      <c r="AA6" s="557" t="s">
        <v>1501</v>
      </c>
    </row>
    <row r="7" spans="2:40" ht="15" x14ac:dyDescent="0.25">
      <c r="B7" s="623" t="s">
        <v>1551</v>
      </c>
      <c r="C7" s="501">
        <v>0</v>
      </c>
      <c r="F7" s="616" t="s">
        <v>173</v>
      </c>
      <c r="G7" s="501">
        <v>0</v>
      </c>
      <c r="H7" s="263"/>
    </row>
    <row r="8" spans="2:40" ht="14.25" x14ac:dyDescent="0.2">
      <c r="B8" s="138"/>
      <c r="C8" s="138"/>
      <c r="D8" s="138"/>
    </row>
    <row r="9" spans="2:40" ht="18" x14ac:dyDescent="0.25">
      <c r="B9" s="576" t="s">
        <v>458</v>
      </c>
      <c r="C9" s="502" t="s">
        <v>459</v>
      </c>
      <c r="D9" s="502" t="s">
        <v>459</v>
      </c>
      <c r="E9" s="502" t="s">
        <v>460</v>
      </c>
      <c r="F9" s="502" t="s">
        <v>460</v>
      </c>
      <c r="G9" s="502" t="s">
        <v>461</v>
      </c>
      <c r="H9" s="509"/>
      <c r="I9" s="138"/>
    </row>
    <row r="10" spans="2:40" ht="18" x14ac:dyDescent="0.2">
      <c r="B10" s="503" t="s">
        <v>462</v>
      </c>
      <c r="C10" s="503"/>
      <c r="D10" s="503"/>
      <c r="E10" s="503"/>
      <c r="F10" s="503"/>
      <c r="G10" s="503"/>
      <c r="H10" s="624"/>
      <c r="I10" s="138"/>
      <c r="K10" s="645" t="s">
        <v>463</v>
      </c>
      <c r="L10" s="645"/>
      <c r="M10" s="645"/>
      <c r="N10" s="645" t="s">
        <v>464</v>
      </c>
      <c r="O10" s="645"/>
      <c r="P10" s="645"/>
      <c r="Q10" s="645" t="s">
        <v>465</v>
      </c>
      <c r="R10" s="645"/>
      <c r="S10" s="645"/>
      <c r="T10" s="646" t="s">
        <v>466</v>
      </c>
      <c r="U10" s="646"/>
      <c r="V10" s="646"/>
      <c r="Y10" s="388" t="str">
        <f>C2</f>
        <v>NYC</v>
      </c>
      <c r="Z10" s="236" t="s">
        <v>467</v>
      </c>
      <c r="AA10" s="504"/>
      <c r="AB10" s="505"/>
      <c r="AC10" s="236" t="s">
        <v>468</v>
      </c>
      <c r="AD10" s="504"/>
      <c r="AE10" s="505"/>
      <c r="AF10" s="506"/>
      <c r="AG10" s="506"/>
      <c r="AI10" s="506"/>
      <c r="AJ10" s="506"/>
      <c r="AK10" s="506"/>
      <c r="AL10" s="506"/>
      <c r="AM10" s="506"/>
      <c r="AN10" s="506"/>
    </row>
    <row r="11" spans="2:40" ht="89.25" x14ac:dyDescent="0.2">
      <c r="B11" s="366" t="s">
        <v>469</v>
      </c>
      <c r="C11" s="365" t="s">
        <v>1523</v>
      </c>
      <c r="D11" s="365" t="s">
        <v>650</v>
      </c>
      <c r="E11" s="366" t="s">
        <v>758</v>
      </c>
      <c r="F11" s="366" t="s">
        <v>472</v>
      </c>
      <c r="G11" s="366" t="s">
        <v>1540</v>
      </c>
      <c r="H11" s="366" t="s">
        <v>1541</v>
      </c>
      <c r="I11" s="138"/>
      <c r="J11" s="338" t="str">
        <f>C2&amp;":
 Targets Table"</f>
        <v>NYC:
 Targets Table</v>
      </c>
      <c r="K11" s="507" t="s">
        <v>473</v>
      </c>
      <c r="L11" s="507" t="s">
        <v>474</v>
      </c>
      <c r="M11" s="507" t="s">
        <v>475</v>
      </c>
      <c r="N11" s="507" t="s">
        <v>473</v>
      </c>
      <c r="O11" s="507" t="s">
        <v>474</v>
      </c>
      <c r="P11" s="507" t="s">
        <v>475</v>
      </c>
      <c r="Q11" s="507" t="s">
        <v>473</v>
      </c>
      <c r="R11" s="507" t="s">
        <v>474</v>
      </c>
      <c r="S11" s="507" t="s">
        <v>475</v>
      </c>
      <c r="T11" s="507" t="s">
        <v>473</v>
      </c>
      <c r="U11" s="507" t="s">
        <v>474</v>
      </c>
      <c r="V11" s="507" t="s">
        <v>475</v>
      </c>
      <c r="W11" s="592" t="s">
        <v>1527</v>
      </c>
      <c r="Y11" s="387" t="s">
        <v>476</v>
      </c>
      <c r="Z11" s="508" t="s">
        <v>463</v>
      </c>
      <c r="AA11" s="509" t="s">
        <v>477</v>
      </c>
      <c r="AB11" s="510" t="s">
        <v>478</v>
      </c>
      <c r="AC11" s="511" t="s">
        <v>479</v>
      </c>
      <c r="AD11" s="512" t="s">
        <v>480</v>
      </c>
      <c r="AE11" s="510" t="s">
        <v>481</v>
      </c>
      <c r="AF11" s="513" t="s">
        <v>482</v>
      </c>
      <c r="AG11" s="558" t="s">
        <v>1502</v>
      </c>
      <c r="AI11" s="506"/>
      <c r="AJ11" s="506"/>
      <c r="AK11" s="506"/>
      <c r="AL11" s="506"/>
      <c r="AM11" s="506"/>
      <c r="AN11" s="506"/>
    </row>
    <row r="12" spans="2:40" ht="15" x14ac:dyDescent="0.25">
      <c r="B12" s="367" t="s">
        <v>442</v>
      </c>
      <c r="C12" s="587">
        <v>54.592000000000013</v>
      </c>
      <c r="D12" s="587">
        <v>30.708000000000002</v>
      </c>
      <c r="E12" s="588">
        <v>1865</v>
      </c>
      <c r="F12" s="588">
        <v>382883357</v>
      </c>
      <c r="G12" s="587" t="b">
        <v>1</v>
      </c>
      <c r="H12" s="587" t="b">
        <v>1</v>
      </c>
      <c r="J12" s="138" t="str">
        <f>B36</f>
        <v>MF-New-Tall</v>
      </c>
      <c r="K12" s="514">
        <f>H36</f>
        <v>54.592000000000013</v>
      </c>
      <c r="L12" s="515">
        <f>G36</f>
        <v>30.708000000000002</v>
      </c>
      <c r="M12" s="268">
        <f>F36</f>
        <v>85.300000000000011</v>
      </c>
      <c r="N12" s="514">
        <f t="shared" ref="N12:O14" si="0">V36</f>
        <v>43.946289079982961</v>
      </c>
      <c r="O12" s="515">
        <f t="shared" si="0"/>
        <v>21.4956</v>
      </c>
      <c r="P12" s="268">
        <f t="shared" ref="P12:P14" si="1">X36</f>
        <v>65.441889079982957</v>
      </c>
      <c r="Q12" s="514">
        <v>0</v>
      </c>
      <c r="R12" s="515">
        <f t="shared" ref="R12:R30" si="2">Z36+AA36</f>
        <v>37.713206346262076</v>
      </c>
      <c r="S12" s="268">
        <f t="shared" ref="S12:S30" si="3">AB36</f>
        <v>37.713206346262076</v>
      </c>
      <c r="T12" s="514">
        <v>0</v>
      </c>
      <c r="U12" s="515">
        <f t="shared" ref="U12:U30" si="4">AJ36+AK36</f>
        <v>32.932408859316013</v>
      </c>
      <c r="V12" s="268">
        <f>U12+T12</f>
        <v>32.932408859316013</v>
      </c>
      <c r="W12" s="263"/>
      <c r="Y12" s="516" t="str">
        <f t="shared" ref="Y12:Y30" si="5">J12</f>
        <v>MF-New-Tall</v>
      </c>
      <c r="Z12" s="517">
        <f t="shared" ref="Z12:Z30" si="6">K12*$Z$3+L12*$Z$4</f>
        <v>5.2331891200000005</v>
      </c>
      <c r="AA12" s="518">
        <f t="shared" ref="AA12:AA30" si="7">N12*$Z$3+O12*$Z$5</f>
        <v>3.1508202130378948</v>
      </c>
      <c r="AB12" s="519">
        <f t="shared" ref="AB12:AB30" si="8">Q12*$Z$3+R12*$Z$6</f>
        <v>0.10165902505442204</v>
      </c>
      <c r="AC12" s="520">
        <f t="shared" ref="AC12:AD27" si="9">AN36</f>
        <v>6.9834331905327183</v>
      </c>
      <c r="AD12" s="521">
        <f t="shared" si="9"/>
        <v>42.027773156213442</v>
      </c>
      <c r="AE12" s="522">
        <f t="shared" ref="AE12:AE14" si="10">AD12/AC12-1</f>
        <v>5.0182108154466976</v>
      </c>
      <c r="AF12" s="523">
        <f t="shared" ref="AF12:AF14" si="11">(AD12-AC12)/(Z12-AB12)</f>
        <v>6.8292184430913636</v>
      </c>
      <c r="AG12" s="523">
        <f t="shared" ref="AG12:AG30" si="12">(AD12-AC12)/(N12)</f>
        <v>0.79743570388615637</v>
      </c>
      <c r="AI12" s="506"/>
      <c r="AJ12" s="524"/>
      <c r="AK12" s="524">
        <f>M12</f>
        <v>85.300000000000011</v>
      </c>
      <c r="AL12" s="524">
        <f>P12</f>
        <v>65.441889079982957</v>
      </c>
      <c r="AM12" s="524">
        <f>S12</f>
        <v>37.713206346262076</v>
      </c>
      <c r="AN12" s="524">
        <f>V12</f>
        <v>32.932408859316013</v>
      </c>
    </row>
    <row r="13" spans="2:40" ht="15" x14ac:dyDescent="0.25">
      <c r="B13" s="367" t="s">
        <v>440</v>
      </c>
      <c r="C13" s="587">
        <v>76.551000000000002</v>
      </c>
      <c r="D13" s="587">
        <v>20.349</v>
      </c>
      <c r="E13" s="588">
        <v>9183</v>
      </c>
      <c r="F13" s="588">
        <v>1702274825</v>
      </c>
      <c r="G13" s="587" t="b">
        <v>1</v>
      </c>
      <c r="H13" s="587" t="b">
        <v>1</v>
      </c>
      <c r="J13" s="138" t="str">
        <f>B37</f>
        <v>MF-Old-Tall</v>
      </c>
      <c r="K13" s="514">
        <f>H37</f>
        <v>76.551000000000002</v>
      </c>
      <c r="L13" s="515">
        <f>G37</f>
        <v>20.349</v>
      </c>
      <c r="M13" s="268">
        <f>F37</f>
        <v>96.9</v>
      </c>
      <c r="N13" s="514">
        <f t="shared" si="0"/>
        <v>60.47909287350214</v>
      </c>
      <c r="O13" s="515">
        <f t="shared" si="0"/>
        <v>14.244299999999999</v>
      </c>
      <c r="P13" s="268">
        <f t="shared" si="1"/>
        <v>74.723392873502135</v>
      </c>
      <c r="Q13" s="514">
        <v>0</v>
      </c>
      <c r="R13" s="515">
        <f t="shared" si="2"/>
        <v>36.189048649662723</v>
      </c>
      <c r="S13" s="268">
        <f t="shared" si="3"/>
        <v>36.189048649662723</v>
      </c>
      <c r="T13" s="514">
        <v>0</v>
      </c>
      <c r="U13" s="515">
        <f t="shared" si="4"/>
        <v>27.356691328544329</v>
      </c>
      <c r="V13" s="268">
        <f t="shared" ref="V13:V30" si="13">U13+T13</f>
        <v>27.356691328544329</v>
      </c>
      <c r="W13" s="263"/>
      <c r="Y13" s="516" t="str">
        <f t="shared" si="5"/>
        <v>MF-Old-Tall</v>
      </c>
      <c r="Z13" s="517">
        <f t="shared" si="6"/>
        <v>5.6121476100000001</v>
      </c>
      <c r="AA13" s="518">
        <f t="shared" si="7"/>
        <v>3.7533280225116981</v>
      </c>
      <c r="AB13" s="519">
        <f t="shared" si="8"/>
        <v>9.7550533613973589E-2</v>
      </c>
      <c r="AC13" s="520">
        <f t="shared" si="9"/>
        <v>9.4796987244611994</v>
      </c>
      <c r="AD13" s="521">
        <f t="shared" si="9"/>
        <v>61.75774923656364</v>
      </c>
      <c r="AE13" s="522">
        <f t="shared" si="10"/>
        <v>5.5147375493279496</v>
      </c>
      <c r="AF13" s="523">
        <f t="shared" si="11"/>
        <v>9.4799402001574133</v>
      </c>
      <c r="AG13" s="523">
        <f t="shared" si="12"/>
        <v>0.86439872075209578</v>
      </c>
      <c r="AI13" s="506"/>
      <c r="AJ13" s="524"/>
      <c r="AK13" s="524">
        <f t="shared" ref="AK13:AK30" si="14">M13</f>
        <v>96.9</v>
      </c>
      <c r="AL13" s="524">
        <f t="shared" ref="AL13:AL30" si="15">P13</f>
        <v>74.723392873502135</v>
      </c>
      <c r="AM13" s="524">
        <f t="shared" ref="AM13:AM30" si="16">S13</f>
        <v>36.189048649662723</v>
      </c>
      <c r="AN13" s="524">
        <f t="shared" ref="AN13:AN30" si="17">V13</f>
        <v>27.356691328544329</v>
      </c>
    </row>
    <row r="14" spans="2:40" ht="15" x14ac:dyDescent="0.25">
      <c r="B14" s="367" t="s">
        <v>444</v>
      </c>
      <c r="C14" s="587">
        <v>51.96</v>
      </c>
      <c r="D14" s="587">
        <v>56.29</v>
      </c>
      <c r="E14" s="588">
        <v>314</v>
      </c>
      <c r="F14" s="588">
        <v>69793029</v>
      </c>
      <c r="G14" s="587" t="b">
        <v>1</v>
      </c>
      <c r="H14" s="587" t="b">
        <v>1</v>
      </c>
      <c r="J14" s="138" t="str">
        <f>B38</f>
        <v>MF-Short</v>
      </c>
      <c r="K14" s="514">
        <f>H38</f>
        <v>51.96</v>
      </c>
      <c r="L14" s="515">
        <f>G38</f>
        <v>56.29</v>
      </c>
      <c r="M14" s="268">
        <f>F38</f>
        <v>108.25</v>
      </c>
      <c r="N14" s="514">
        <f t="shared" si="0"/>
        <v>41.467856474541222</v>
      </c>
      <c r="O14" s="515">
        <f t="shared" si="0"/>
        <v>39.402999999999999</v>
      </c>
      <c r="P14" s="268">
        <f t="shared" si="1"/>
        <v>80.870856474541227</v>
      </c>
      <c r="Q14" s="514">
        <v>0</v>
      </c>
      <c r="R14" s="515">
        <f t="shared" si="2"/>
        <v>54.649724382221379</v>
      </c>
      <c r="S14" s="268">
        <f t="shared" si="3"/>
        <v>54.649724382221379</v>
      </c>
      <c r="T14" s="514">
        <v>0</v>
      </c>
      <c r="U14" s="515">
        <f t="shared" si="4"/>
        <v>49.983590549878819</v>
      </c>
      <c r="V14" s="268">
        <f t="shared" si="13"/>
        <v>49.983590549878819</v>
      </c>
      <c r="W14" s="263"/>
      <c r="Y14" s="516" t="str">
        <f t="shared" si="5"/>
        <v>MF-Short</v>
      </c>
      <c r="Z14" s="517">
        <f t="shared" si="6"/>
        <v>7.0376355999999998</v>
      </c>
      <c r="AA14" s="518">
        <f t="shared" si="7"/>
        <v>3.6996718573628842</v>
      </c>
      <c r="AB14" s="519">
        <f t="shared" si="8"/>
        <v>0.14731279141796294</v>
      </c>
      <c r="AC14" s="520">
        <f t="shared" si="9"/>
        <v>6.7489137653531692</v>
      </c>
      <c r="AD14" s="521">
        <f t="shared" si="9"/>
        <v>41.040579786781159</v>
      </c>
      <c r="AE14" s="522">
        <f t="shared" si="10"/>
        <v>5.0810644814385943</v>
      </c>
      <c r="AF14" s="523">
        <f t="shared" si="11"/>
        <v>4.9767865706838901</v>
      </c>
      <c r="AG14" s="523">
        <f t="shared" si="12"/>
        <v>0.82694571016664464</v>
      </c>
      <c r="AI14" s="506"/>
      <c r="AJ14" s="524"/>
      <c r="AK14" s="524">
        <f t="shared" si="14"/>
        <v>108.25</v>
      </c>
      <c r="AL14" s="524">
        <f t="shared" si="15"/>
        <v>80.870856474541227</v>
      </c>
      <c r="AM14" s="524">
        <f t="shared" si="16"/>
        <v>54.649724382221379</v>
      </c>
      <c r="AN14" s="524">
        <f t="shared" si="17"/>
        <v>49.983590549878819</v>
      </c>
    </row>
    <row r="15" spans="2:40" ht="15" x14ac:dyDescent="0.25">
      <c r="B15" s="367" t="s">
        <v>111</v>
      </c>
      <c r="C15" s="587">
        <v>43.927999999999997</v>
      </c>
      <c r="D15" s="587">
        <v>20.671999999999997</v>
      </c>
      <c r="E15" s="588">
        <v>1529</v>
      </c>
      <c r="F15" s="588">
        <v>319586694</v>
      </c>
      <c r="G15" s="587" t="b">
        <v>1</v>
      </c>
      <c r="H15" s="587" t="b">
        <v>1</v>
      </c>
      <c r="J15" s="138" t="str">
        <f t="shared" ref="J15:J30" si="18">B39</f>
        <v>Education</v>
      </c>
      <c r="K15" s="514">
        <f t="shared" ref="K15:K30" si="19">H39</f>
        <v>43.927999999999997</v>
      </c>
      <c r="L15" s="515">
        <f t="shared" ref="L15:L30" si="20">G39</f>
        <v>20.671999999999997</v>
      </c>
      <c r="M15" s="268">
        <f t="shared" ref="M15:M30" si="21">F39</f>
        <v>64.599999999999994</v>
      </c>
      <c r="N15" s="514">
        <f t="shared" ref="N15:P30" si="22">V39</f>
        <v>34.57007308223757</v>
      </c>
      <c r="O15" s="515">
        <f t="shared" si="22"/>
        <v>14.470399999999996</v>
      </c>
      <c r="P15" s="268">
        <f t="shared" si="22"/>
        <v>49.040473082237568</v>
      </c>
      <c r="Q15" s="514">
        <v>0</v>
      </c>
      <c r="R15" s="515">
        <f t="shared" si="2"/>
        <v>29.345317854912423</v>
      </c>
      <c r="S15" s="268">
        <f t="shared" si="3"/>
        <v>29.345317854912423</v>
      </c>
      <c r="T15" s="514">
        <v>0</v>
      </c>
      <c r="U15" s="515">
        <f t="shared" si="4"/>
        <v>25.526065756316477</v>
      </c>
      <c r="V15" s="268">
        <f t="shared" si="13"/>
        <v>25.526065756316477</v>
      </c>
      <c r="W15" s="263"/>
      <c r="Y15" s="516" t="str">
        <f t="shared" si="5"/>
        <v>Education</v>
      </c>
      <c r="Z15" s="517">
        <f t="shared" si="6"/>
        <v>3.9040880799999993</v>
      </c>
      <c r="AA15" s="518">
        <f t="shared" si="7"/>
        <v>2.3858917813976372</v>
      </c>
      <c r="AB15" s="519">
        <f t="shared" si="8"/>
        <v>7.9102698817285794E-2</v>
      </c>
      <c r="AC15" s="520">
        <f t="shared" si="9"/>
        <v>8.1129190649134824</v>
      </c>
      <c r="AD15" s="521">
        <f t="shared" si="9"/>
        <v>37.632585030251235</v>
      </c>
      <c r="AE15" s="522">
        <f>AD15/AC15-1</f>
        <v>3.6385998343066861</v>
      </c>
      <c r="AF15" s="523">
        <f>(AD15-AC15)/(Z15-AB15)</f>
        <v>7.7175892254547787</v>
      </c>
      <c r="AG15" s="523">
        <f t="shared" si="12"/>
        <v>0.853908115702111</v>
      </c>
      <c r="AI15" s="506"/>
      <c r="AJ15" s="524"/>
      <c r="AK15" s="524">
        <f t="shared" si="14"/>
        <v>64.599999999999994</v>
      </c>
      <c r="AL15" s="524">
        <f t="shared" si="15"/>
        <v>49.040473082237568</v>
      </c>
      <c r="AM15" s="524">
        <f t="shared" si="16"/>
        <v>29.345317854912423</v>
      </c>
      <c r="AN15" s="524">
        <f t="shared" si="17"/>
        <v>25.526065756316477</v>
      </c>
    </row>
    <row r="16" spans="2:40" ht="15" x14ac:dyDescent="0.25">
      <c r="B16" s="367" t="s">
        <v>393</v>
      </c>
      <c r="C16" s="587">
        <v>0.1</v>
      </c>
      <c r="D16" s="587">
        <v>114.69999999999999</v>
      </c>
      <c r="E16" s="588">
        <v>18</v>
      </c>
      <c r="F16" s="588">
        <v>8579843</v>
      </c>
      <c r="G16" s="587" t="b">
        <v>1</v>
      </c>
      <c r="H16" s="587" t="b">
        <v>1</v>
      </c>
      <c r="J16" s="138" t="str">
        <f t="shared" si="18"/>
        <v>Food sales</v>
      </c>
      <c r="K16" s="514">
        <f t="shared" si="19"/>
        <v>0.1</v>
      </c>
      <c r="L16" s="515">
        <f t="shared" si="20"/>
        <v>114.69999999999999</v>
      </c>
      <c r="M16" s="268">
        <f t="shared" si="21"/>
        <v>114.79999999999998</v>
      </c>
      <c r="N16" s="514">
        <f t="shared" si="22"/>
        <v>8.1821941475846871E-2</v>
      </c>
      <c r="O16" s="515">
        <f t="shared" si="22"/>
        <v>80.289999999999992</v>
      </c>
      <c r="P16" s="268">
        <f t="shared" si="22"/>
        <v>80.371821941475844</v>
      </c>
      <c r="Q16" s="514">
        <v>0</v>
      </c>
      <c r="R16" s="515">
        <f t="shared" si="2"/>
        <v>80.32664672991514</v>
      </c>
      <c r="S16" s="268">
        <f t="shared" si="3"/>
        <v>80.32664672991514</v>
      </c>
      <c r="T16" s="514">
        <v>0</v>
      </c>
      <c r="U16" s="515">
        <f t="shared" si="4"/>
        <v>80.32664672991514</v>
      </c>
      <c r="V16" s="268">
        <f t="shared" si="13"/>
        <v>80.32664672991514</v>
      </c>
      <c r="W16" s="263"/>
      <c r="Y16" s="516" t="str">
        <f t="shared" si="5"/>
        <v>Food sales</v>
      </c>
      <c r="Z16" s="517">
        <f t="shared" si="6"/>
        <v>8.722510999999999</v>
      </c>
      <c r="AA16" s="518">
        <f t="shared" si="7"/>
        <v>3.0553655633117822</v>
      </c>
      <c r="AB16" s="519">
        <f t="shared" si="8"/>
        <v>0.2165270308092887</v>
      </c>
      <c r="AC16" s="520">
        <f t="shared" si="9"/>
        <v>3.2834277130651256E-2</v>
      </c>
      <c r="AD16" s="521">
        <f t="shared" si="9"/>
        <v>8.8540589064468517E-2</v>
      </c>
      <c r="AE16" s="522">
        <f>AD16/AC16-1</f>
        <v>1.6965901734993474</v>
      </c>
      <c r="AF16" s="523">
        <f>(AD16-AC16)/(Z16-AB16)</f>
        <v>6.5490732331014911E-3</v>
      </c>
      <c r="AG16" s="523">
        <f t="shared" si="12"/>
        <v>0.68082363885561525</v>
      </c>
      <c r="AI16" s="506"/>
      <c r="AJ16" s="524"/>
      <c r="AK16" s="524">
        <f t="shared" si="14"/>
        <v>114.79999999999998</v>
      </c>
      <c r="AL16" s="524">
        <f t="shared" si="15"/>
        <v>80.371821941475844</v>
      </c>
      <c r="AM16" s="524">
        <f t="shared" si="16"/>
        <v>80.32664672991514</v>
      </c>
      <c r="AN16" s="524">
        <f t="shared" si="17"/>
        <v>80.32664672991514</v>
      </c>
    </row>
    <row r="17" spans="2:40" ht="15" x14ac:dyDescent="0.25">
      <c r="B17" s="367" t="s">
        <v>403</v>
      </c>
      <c r="C17" s="587">
        <v>69.84</v>
      </c>
      <c r="D17" s="587">
        <v>46.56</v>
      </c>
      <c r="E17" s="588">
        <v>7</v>
      </c>
      <c r="F17" s="588">
        <v>1341013</v>
      </c>
      <c r="G17" s="587" t="b">
        <v>1</v>
      </c>
      <c r="H17" s="587" t="b">
        <v>1</v>
      </c>
      <c r="J17" s="138" t="str">
        <f t="shared" si="18"/>
        <v>Food service</v>
      </c>
      <c r="K17" s="514">
        <f t="shared" si="19"/>
        <v>232.41931407119426</v>
      </c>
      <c r="L17" s="515">
        <f t="shared" si="20"/>
        <v>82.80963855421686</v>
      </c>
      <c r="M17" s="268">
        <f t="shared" si="21"/>
        <v>315.22895262541113</v>
      </c>
      <c r="N17" s="514">
        <f t="shared" si="22"/>
        <v>217.11378380264267</v>
      </c>
      <c r="O17" s="515">
        <f t="shared" si="22"/>
        <v>57.966746987951801</v>
      </c>
      <c r="P17" s="268">
        <f t="shared" si="22"/>
        <v>275.08053079059448</v>
      </c>
      <c r="Q17" s="514">
        <v>0</v>
      </c>
      <c r="R17" s="515">
        <f t="shared" si="2"/>
        <v>170.9943369631456</v>
      </c>
      <c r="S17" s="268">
        <f t="shared" si="3"/>
        <v>170.9943369631456</v>
      </c>
      <c r="T17" s="514">
        <v>0</v>
      </c>
      <c r="U17" s="515">
        <f t="shared" si="4"/>
        <v>162.73420769596044</v>
      </c>
      <c r="V17" s="268">
        <f t="shared" si="13"/>
        <v>162.73420769596044</v>
      </c>
      <c r="W17" s="263"/>
      <c r="Y17" s="516" t="str">
        <f t="shared" si="5"/>
        <v>Food service</v>
      </c>
      <c r="Z17" s="517">
        <f t="shared" si="6"/>
        <v>18.63732230044161</v>
      </c>
      <c r="AA17" s="518">
        <f t="shared" si="7"/>
        <v>13.73364944330052</v>
      </c>
      <c r="AB17" s="519">
        <f t="shared" si="8"/>
        <v>0.46092918819732281</v>
      </c>
      <c r="AC17" s="520">
        <f t="shared" si="9"/>
        <v>113.43910787324208</v>
      </c>
      <c r="AD17" s="521">
        <f t="shared" si="9"/>
        <v>161.6712130562056</v>
      </c>
      <c r="AE17" s="522">
        <f t="shared" ref="AE17:AE30" si="23">AD17/AC17-1</f>
        <v>0.42518057561646661</v>
      </c>
      <c r="AF17" s="523">
        <f t="shared" ref="AF17:AF30" si="24">(AD17-AC17)/(Z17-AB17)</f>
        <v>2.6535575504511177</v>
      </c>
      <c r="AG17" s="523">
        <f t="shared" si="12"/>
        <v>0.22215128094679934</v>
      </c>
      <c r="AI17" s="506"/>
      <c r="AJ17" s="524"/>
      <c r="AK17" s="524">
        <f t="shared" si="14"/>
        <v>315.22895262541113</v>
      </c>
      <c r="AL17" s="524">
        <f t="shared" si="15"/>
        <v>275.08053079059448</v>
      </c>
      <c r="AM17" s="524">
        <f t="shared" si="16"/>
        <v>170.9943369631456</v>
      </c>
      <c r="AN17" s="524">
        <f t="shared" si="17"/>
        <v>162.73420769596044</v>
      </c>
    </row>
    <row r="18" spans="2:40" ht="15" x14ac:dyDescent="0.25">
      <c r="B18" s="367" t="s">
        <v>483</v>
      </c>
      <c r="C18" s="587">
        <v>113.337</v>
      </c>
      <c r="D18" s="587">
        <v>66.563000000000002</v>
      </c>
      <c r="E18" s="588">
        <v>15</v>
      </c>
      <c r="F18" s="588">
        <v>73584591</v>
      </c>
      <c r="G18" s="587" t="b">
        <v>1</v>
      </c>
      <c r="H18" s="587" t="b">
        <v>1</v>
      </c>
      <c r="J18" s="138" t="str">
        <f t="shared" si="18"/>
        <v>Health care Inpatient</v>
      </c>
      <c r="K18" s="514">
        <f t="shared" si="19"/>
        <v>113.337</v>
      </c>
      <c r="L18" s="515">
        <f t="shared" si="20"/>
        <v>66.563000000000002</v>
      </c>
      <c r="M18" s="268">
        <f t="shared" si="21"/>
        <v>179.9</v>
      </c>
      <c r="N18" s="514">
        <f t="shared" si="22"/>
        <v>94.174179866122103</v>
      </c>
      <c r="O18" s="515">
        <f t="shared" si="22"/>
        <v>46.594099999999997</v>
      </c>
      <c r="P18" s="268">
        <f t="shared" si="22"/>
        <v>140.7682798661221</v>
      </c>
      <c r="Q18" s="514">
        <v>0</v>
      </c>
      <c r="R18" s="515">
        <f t="shared" si="2"/>
        <v>91.062411776956139</v>
      </c>
      <c r="S18" s="268">
        <f t="shared" si="3"/>
        <v>91.062411776956139</v>
      </c>
      <c r="T18" s="514">
        <v>0</v>
      </c>
      <c r="U18" s="515">
        <f t="shared" si="4"/>
        <v>79.922172743660639</v>
      </c>
      <c r="V18" s="268">
        <f t="shared" si="13"/>
        <v>79.922172743660639</v>
      </c>
      <c r="W18" s="263"/>
      <c r="Y18" s="516" t="str">
        <f t="shared" si="5"/>
        <v>Health care Inpatient</v>
      </c>
      <c r="Z18" s="517">
        <f t="shared" si="6"/>
        <v>11.07811607</v>
      </c>
      <c r="AA18" s="518">
        <f t="shared" si="7"/>
        <v>6.7721664926897445</v>
      </c>
      <c r="AB18" s="519">
        <f t="shared" si="8"/>
        <v>0.2454661615179059</v>
      </c>
      <c r="AC18" s="520">
        <f t="shared" si="9"/>
        <v>27.281550615545939</v>
      </c>
      <c r="AD18" s="521">
        <f t="shared" si="9"/>
        <v>88.423305381913352</v>
      </c>
      <c r="AE18" s="522">
        <f t="shared" si="23"/>
        <v>2.2411392822930964</v>
      </c>
      <c r="AF18" s="523">
        <f t="shared" si="24"/>
        <v>5.6442103532297008</v>
      </c>
      <c r="AG18" s="523">
        <f t="shared" si="12"/>
        <v>0.64924117049159813</v>
      </c>
      <c r="AI18" s="506"/>
      <c r="AJ18" s="524"/>
      <c r="AK18" s="524">
        <f t="shared" si="14"/>
        <v>179.9</v>
      </c>
      <c r="AL18" s="524">
        <f t="shared" si="15"/>
        <v>140.7682798661221</v>
      </c>
      <c r="AM18" s="524">
        <f t="shared" si="16"/>
        <v>91.062411776956139</v>
      </c>
      <c r="AN18" s="524">
        <f t="shared" si="17"/>
        <v>79.922172743660639</v>
      </c>
    </row>
    <row r="19" spans="2:40" ht="15" x14ac:dyDescent="0.25">
      <c r="B19" s="367" t="s">
        <v>484</v>
      </c>
      <c r="C19" s="587">
        <v>35.606999999999999</v>
      </c>
      <c r="D19" s="587">
        <v>55.692999999999998</v>
      </c>
      <c r="E19" s="588">
        <v>75</v>
      </c>
      <c r="F19" s="588">
        <v>16489737</v>
      </c>
      <c r="G19" s="587" t="b">
        <v>1</v>
      </c>
      <c r="H19" s="587" t="b">
        <v>1</v>
      </c>
      <c r="J19" s="138" t="str">
        <f t="shared" si="18"/>
        <v>Health care Outpatient</v>
      </c>
      <c r="K19" s="514">
        <f t="shared" si="19"/>
        <v>35.606999999999999</v>
      </c>
      <c r="L19" s="515">
        <f t="shared" si="20"/>
        <v>55.692999999999998</v>
      </c>
      <c r="M19" s="268">
        <f t="shared" si="21"/>
        <v>91.3</v>
      </c>
      <c r="N19" s="514">
        <f t="shared" si="22"/>
        <v>25.674826035723061</v>
      </c>
      <c r="O19" s="515">
        <f t="shared" si="22"/>
        <v>38.985099999999996</v>
      </c>
      <c r="P19" s="268">
        <f t="shared" si="22"/>
        <v>64.659926035723061</v>
      </c>
      <c r="Q19" s="514">
        <v>0</v>
      </c>
      <c r="R19" s="515">
        <f t="shared" si="2"/>
        <v>47.423749639009742</v>
      </c>
      <c r="S19" s="268">
        <f t="shared" si="3"/>
        <v>47.423749639009742</v>
      </c>
      <c r="T19" s="514">
        <v>0</v>
      </c>
      <c r="U19" s="515">
        <f t="shared" si="4"/>
        <v>43.175726412349626</v>
      </c>
      <c r="V19" s="268">
        <f t="shared" si="13"/>
        <v>43.175726412349626</v>
      </c>
      <c r="W19" s="263"/>
      <c r="Y19" s="516" t="str">
        <f t="shared" si="5"/>
        <v>Health care Outpatient</v>
      </c>
      <c r="Z19" s="517">
        <f t="shared" si="6"/>
        <v>6.1237557699999989</v>
      </c>
      <c r="AA19" s="518">
        <f t="shared" si="7"/>
        <v>2.8450238107572514</v>
      </c>
      <c r="AB19" s="519">
        <f t="shared" si="8"/>
        <v>0.1278345868675938</v>
      </c>
      <c r="AC19" s="520">
        <f t="shared" si="9"/>
        <v>3.5443043569319337</v>
      </c>
      <c r="AD19" s="521">
        <f t="shared" si="9"/>
        <v>34.645403970249106</v>
      </c>
      <c r="AE19" s="522">
        <f t="shared" si="23"/>
        <v>8.7749517200716092</v>
      </c>
      <c r="AF19" s="523">
        <f t="shared" si="24"/>
        <v>5.1870427684756937</v>
      </c>
      <c r="AG19" s="523">
        <f t="shared" si="12"/>
        <v>1.2113460698835576</v>
      </c>
      <c r="AI19" s="506"/>
      <c r="AJ19" s="524"/>
      <c r="AK19" s="524">
        <f t="shared" si="14"/>
        <v>91.3</v>
      </c>
      <c r="AL19" s="524">
        <f t="shared" si="15"/>
        <v>64.659926035723061</v>
      </c>
      <c r="AM19" s="524">
        <f t="shared" si="16"/>
        <v>47.423749639009742</v>
      </c>
      <c r="AN19" s="524">
        <f t="shared" si="17"/>
        <v>43.175726412349626</v>
      </c>
    </row>
    <row r="20" spans="2:40" ht="15" x14ac:dyDescent="0.25">
      <c r="B20" s="367" t="s">
        <v>416</v>
      </c>
      <c r="C20" s="587">
        <v>60.85</v>
      </c>
      <c r="D20" s="587">
        <v>60.85</v>
      </c>
      <c r="E20" s="588">
        <v>519</v>
      </c>
      <c r="F20" s="588">
        <v>189801323</v>
      </c>
      <c r="G20" s="587" t="b">
        <v>1</v>
      </c>
      <c r="H20" s="587" t="b">
        <v>1</v>
      </c>
      <c r="J20" s="138" t="str">
        <f t="shared" si="18"/>
        <v>Lodging</v>
      </c>
      <c r="K20" s="514">
        <f t="shared" si="19"/>
        <v>60.85</v>
      </c>
      <c r="L20" s="515">
        <f t="shared" si="20"/>
        <v>60.85</v>
      </c>
      <c r="M20" s="268">
        <f t="shared" si="21"/>
        <v>121.7</v>
      </c>
      <c r="N20" s="514">
        <f t="shared" si="22"/>
        <v>54.158309029665773</v>
      </c>
      <c r="O20" s="515">
        <f t="shared" si="22"/>
        <v>42.594999999999999</v>
      </c>
      <c r="P20" s="268">
        <f t="shared" si="22"/>
        <v>96.753309029665772</v>
      </c>
      <c r="Q20" s="514">
        <v>0</v>
      </c>
      <c r="R20" s="515">
        <f t="shared" si="2"/>
        <v>67.021063563318478</v>
      </c>
      <c r="S20" s="268">
        <f t="shared" si="3"/>
        <v>67.021063563318478</v>
      </c>
      <c r="T20" s="514">
        <v>0</v>
      </c>
      <c r="U20" s="515">
        <f t="shared" si="4"/>
        <v>65.192600972135594</v>
      </c>
      <c r="V20" s="268">
        <f t="shared" si="13"/>
        <v>65.192600972135594</v>
      </c>
      <c r="W20" s="263"/>
      <c r="Y20" s="516" t="str">
        <f t="shared" si="5"/>
        <v>Lodging</v>
      </c>
      <c r="Z20" s="517">
        <f t="shared" si="6"/>
        <v>7.8563434999999995</v>
      </c>
      <c r="AA20" s="518">
        <f t="shared" si="7"/>
        <v>4.4949577925655486</v>
      </c>
      <c r="AB20" s="519">
        <f t="shared" si="8"/>
        <v>0.18066074566562812</v>
      </c>
      <c r="AC20" s="520">
        <f t="shared" si="9"/>
        <v>10.333168554337755</v>
      </c>
      <c r="AD20" s="521">
        <f t="shared" si="9"/>
        <v>34.643196990343931</v>
      </c>
      <c r="AE20" s="522">
        <f t="shared" si="23"/>
        <v>2.3526209127597251</v>
      </c>
      <c r="AF20" s="523">
        <f t="shared" si="24"/>
        <v>3.1671486712082491</v>
      </c>
      <c r="AG20" s="523">
        <f t="shared" si="12"/>
        <v>0.44886978326243732</v>
      </c>
      <c r="AI20" s="506"/>
      <c r="AJ20" s="524"/>
      <c r="AK20" s="524">
        <f t="shared" si="14"/>
        <v>121.7</v>
      </c>
      <c r="AL20" s="524">
        <f t="shared" si="15"/>
        <v>96.753309029665772</v>
      </c>
      <c r="AM20" s="524">
        <f t="shared" si="16"/>
        <v>67.021063563318478</v>
      </c>
      <c r="AN20" s="524">
        <f t="shared" si="17"/>
        <v>65.192600972135594</v>
      </c>
    </row>
    <row r="21" spans="2:40" ht="15" x14ac:dyDescent="0.25">
      <c r="B21" s="367" t="s">
        <v>485</v>
      </c>
      <c r="C21" s="587">
        <v>9.1700000000000017</v>
      </c>
      <c r="D21" s="587">
        <v>82.53</v>
      </c>
      <c r="E21" s="588">
        <v>32</v>
      </c>
      <c r="F21" s="588">
        <v>12966991</v>
      </c>
      <c r="G21" s="587" t="b">
        <v>1</v>
      </c>
      <c r="H21" s="587" t="b">
        <v>1</v>
      </c>
      <c r="J21" s="138" t="str">
        <f t="shared" si="18"/>
        <v>Mercantile Enclosed and strip malls</v>
      </c>
      <c r="K21" s="514">
        <f t="shared" si="19"/>
        <v>9.1700000000000017</v>
      </c>
      <c r="L21" s="515">
        <f t="shared" si="20"/>
        <v>82.53</v>
      </c>
      <c r="M21" s="268">
        <f t="shared" si="21"/>
        <v>91.7</v>
      </c>
      <c r="N21" s="514">
        <f t="shared" si="22"/>
        <v>7.945589732338747</v>
      </c>
      <c r="O21" s="515">
        <f t="shared" si="22"/>
        <v>57.770999999999994</v>
      </c>
      <c r="P21" s="268">
        <f t="shared" si="22"/>
        <v>65.716589732338747</v>
      </c>
      <c r="Q21" s="514">
        <v>0</v>
      </c>
      <c r="R21" s="515">
        <f t="shared" si="2"/>
        <v>61.657297022836602</v>
      </c>
      <c r="S21" s="268">
        <f t="shared" si="3"/>
        <v>61.657297022836602</v>
      </c>
      <c r="T21" s="514">
        <v>0</v>
      </c>
      <c r="U21" s="515">
        <f t="shared" si="4"/>
        <v>61.657297022836609</v>
      </c>
      <c r="V21" s="268">
        <f t="shared" si="13"/>
        <v>61.657297022836609</v>
      </c>
      <c r="W21" s="263"/>
      <c r="Y21" s="516" t="str">
        <f t="shared" si="5"/>
        <v>Mercantile Enclosed and strip malls</v>
      </c>
      <c r="Z21" s="517">
        <f t="shared" si="6"/>
        <v>6.7592987000000004</v>
      </c>
      <c r="AA21" s="518">
        <f t="shared" si="7"/>
        <v>2.6172882706845106</v>
      </c>
      <c r="AB21" s="519">
        <f t="shared" si="8"/>
        <v>0.16620227527945894</v>
      </c>
      <c r="AC21" s="520">
        <f t="shared" si="9"/>
        <v>2.8586822951994288</v>
      </c>
      <c r="AD21" s="521">
        <f t="shared" si="9"/>
        <v>6.7855717922278949</v>
      </c>
      <c r="AE21" s="522">
        <f t="shared" si="23"/>
        <v>1.3736711853649748</v>
      </c>
      <c r="AF21" s="523">
        <f t="shared" si="24"/>
        <v>0.59560625904161768</v>
      </c>
      <c r="AG21" s="523">
        <f t="shared" si="12"/>
        <v>0.49422253467806532</v>
      </c>
      <c r="AI21" s="506"/>
      <c r="AJ21" s="524"/>
      <c r="AK21" s="524">
        <f t="shared" si="14"/>
        <v>91.7</v>
      </c>
      <c r="AL21" s="524">
        <f t="shared" si="15"/>
        <v>65.716589732338747</v>
      </c>
      <c r="AM21" s="524">
        <f t="shared" si="16"/>
        <v>61.657297022836602</v>
      </c>
      <c r="AN21" s="524">
        <f t="shared" si="17"/>
        <v>61.657297022836609</v>
      </c>
    </row>
    <row r="22" spans="2:40" ht="15" x14ac:dyDescent="0.25">
      <c r="B22" s="367" t="s">
        <v>486</v>
      </c>
      <c r="C22" s="587">
        <v>23.140249999999995</v>
      </c>
      <c r="D22" s="587">
        <v>71.309750000000008</v>
      </c>
      <c r="E22" s="588">
        <v>132</v>
      </c>
      <c r="F22" s="588">
        <v>30810118</v>
      </c>
      <c r="G22" s="587" t="b">
        <v>1</v>
      </c>
      <c r="H22" s="587" t="b">
        <v>1</v>
      </c>
      <c r="J22" s="138" t="str">
        <f t="shared" si="18"/>
        <v>Mercantile Retail (other than mall)</v>
      </c>
      <c r="K22" s="514">
        <f t="shared" si="19"/>
        <v>23.140249999999995</v>
      </c>
      <c r="L22" s="515">
        <f t="shared" si="20"/>
        <v>71.309750000000008</v>
      </c>
      <c r="M22" s="268">
        <f t="shared" si="21"/>
        <v>94.45</v>
      </c>
      <c r="N22" s="514">
        <f t="shared" si="22"/>
        <v>17.85656958257713</v>
      </c>
      <c r="O22" s="515">
        <f t="shared" si="22"/>
        <v>49.916825000000003</v>
      </c>
      <c r="P22" s="268">
        <f t="shared" si="22"/>
        <v>67.77339458257714</v>
      </c>
      <c r="Q22" s="514">
        <v>0</v>
      </c>
      <c r="R22" s="515">
        <f t="shared" si="2"/>
        <v>56.904273788969867</v>
      </c>
      <c r="S22" s="268">
        <f t="shared" si="3"/>
        <v>56.904273788969867</v>
      </c>
      <c r="T22" s="514">
        <v>0</v>
      </c>
      <c r="U22" s="515">
        <f t="shared" si="4"/>
        <v>56.127125743960782</v>
      </c>
      <c r="V22" s="268">
        <f t="shared" si="13"/>
        <v>56.127125743960782</v>
      </c>
      <c r="W22" s="263"/>
      <c r="Y22" s="516" t="str">
        <f t="shared" si="5"/>
        <v>Mercantile Retail (other than mall)</v>
      </c>
      <c r="Z22" s="517">
        <f t="shared" si="6"/>
        <v>6.6485196775000004</v>
      </c>
      <c r="AA22" s="518">
        <f t="shared" si="7"/>
        <v>2.8452017605306716</v>
      </c>
      <c r="AB22" s="519">
        <f t="shared" si="8"/>
        <v>0.15339011331212202</v>
      </c>
      <c r="AC22" s="520">
        <f t="shared" si="9"/>
        <v>4.874166351319932</v>
      </c>
      <c r="AD22" s="521">
        <f t="shared" si="9"/>
        <v>21.318870171910302</v>
      </c>
      <c r="AE22" s="522">
        <f t="shared" si="23"/>
        <v>3.3738495232394188</v>
      </c>
      <c r="AF22" s="523">
        <f t="shared" si="24"/>
        <v>2.5318515447730783</v>
      </c>
      <c r="AG22" s="523">
        <f t="shared" si="12"/>
        <v>0.92093297901046267</v>
      </c>
      <c r="AI22" s="506"/>
      <c r="AJ22" s="524"/>
      <c r="AK22" s="524">
        <f t="shared" si="14"/>
        <v>94.45</v>
      </c>
      <c r="AL22" s="524">
        <f t="shared" si="15"/>
        <v>67.77339458257714</v>
      </c>
      <c r="AM22" s="524">
        <f t="shared" si="16"/>
        <v>56.904273788969867</v>
      </c>
      <c r="AN22" s="524">
        <f t="shared" si="17"/>
        <v>56.127125743960782</v>
      </c>
    </row>
    <row r="23" spans="2:40" ht="15" x14ac:dyDescent="0.25">
      <c r="B23" s="367" t="s">
        <v>425</v>
      </c>
      <c r="C23" s="587">
        <v>30.376999999999995</v>
      </c>
      <c r="D23" s="587">
        <v>51.722999999999999</v>
      </c>
      <c r="E23" s="588">
        <v>1255</v>
      </c>
      <c r="F23" s="588">
        <v>717962630</v>
      </c>
      <c r="G23" s="587" t="b">
        <v>1</v>
      </c>
      <c r="H23" s="587" t="b">
        <v>1</v>
      </c>
      <c r="J23" s="138" t="str">
        <f t="shared" si="18"/>
        <v>Office</v>
      </c>
      <c r="K23" s="514">
        <f t="shared" si="19"/>
        <v>30.376999999999995</v>
      </c>
      <c r="L23" s="515">
        <f t="shared" si="20"/>
        <v>51.722999999999999</v>
      </c>
      <c r="M23" s="268">
        <f t="shared" si="21"/>
        <v>82.1</v>
      </c>
      <c r="N23" s="514">
        <f t="shared" si="22"/>
        <v>23.951429230274044</v>
      </c>
      <c r="O23" s="515">
        <f t="shared" si="22"/>
        <v>36.206099999999999</v>
      </c>
      <c r="P23" s="268">
        <f t="shared" si="22"/>
        <v>60.157529230274044</v>
      </c>
      <c r="Q23" s="514">
        <v>0</v>
      </c>
      <c r="R23" s="515">
        <f t="shared" si="2"/>
        <v>47.493864380392893</v>
      </c>
      <c r="S23" s="268">
        <f t="shared" si="3"/>
        <v>47.493864380392893</v>
      </c>
      <c r="T23" s="514">
        <v>0</v>
      </c>
      <c r="U23" s="515">
        <f t="shared" si="4"/>
        <v>45.864104872330849</v>
      </c>
      <c r="V23" s="268">
        <f t="shared" si="13"/>
        <v>45.864104872330849</v>
      </c>
      <c r="W23" s="263"/>
      <c r="Y23" s="516" t="str">
        <f t="shared" si="5"/>
        <v>Office</v>
      </c>
      <c r="Z23" s="517">
        <f t="shared" si="6"/>
        <v>5.5442704699999998</v>
      </c>
      <c r="AA23" s="518">
        <f t="shared" si="7"/>
        <v>2.6478922064198542</v>
      </c>
      <c r="AB23" s="519">
        <f t="shared" si="8"/>
        <v>0.12802358687426282</v>
      </c>
      <c r="AC23" s="520">
        <f t="shared" si="9"/>
        <v>6.2338343169254546</v>
      </c>
      <c r="AD23" s="521">
        <f t="shared" si="9"/>
        <v>26.279581730823796</v>
      </c>
      <c r="AE23" s="522">
        <f t="shared" si="23"/>
        <v>3.2156368608437713</v>
      </c>
      <c r="AF23" s="523">
        <f t="shared" si="24"/>
        <v>3.7010401937826476</v>
      </c>
      <c r="AG23" s="523">
        <f t="shared" si="12"/>
        <v>0.83693324607789943</v>
      </c>
      <c r="AI23" s="506"/>
      <c r="AJ23" s="524"/>
      <c r="AK23" s="524">
        <f t="shared" si="14"/>
        <v>82.1</v>
      </c>
      <c r="AL23" s="524">
        <f t="shared" si="15"/>
        <v>60.157529230274044</v>
      </c>
      <c r="AM23" s="524">
        <f t="shared" si="16"/>
        <v>47.493864380392893</v>
      </c>
      <c r="AN23" s="524">
        <f t="shared" si="17"/>
        <v>45.864104872330849</v>
      </c>
    </row>
    <row r="24" spans="2:40" ht="15" x14ac:dyDescent="0.25">
      <c r="B24" s="367" t="s">
        <v>173</v>
      </c>
      <c r="C24" s="587">
        <v>32.141999999999996</v>
      </c>
      <c r="D24" s="587">
        <v>40.908000000000001</v>
      </c>
      <c r="E24" s="588">
        <v>232</v>
      </c>
      <c r="F24" s="588">
        <v>105696502</v>
      </c>
      <c r="G24" s="587" t="b">
        <v>1</v>
      </c>
      <c r="H24" s="587" t="b">
        <v>1</v>
      </c>
      <c r="J24" s="138" t="str">
        <f t="shared" si="18"/>
        <v>Other</v>
      </c>
      <c r="K24" s="514">
        <f t="shared" si="19"/>
        <v>32.141999999999996</v>
      </c>
      <c r="L24" s="515">
        <f t="shared" si="20"/>
        <v>40.908000000000001</v>
      </c>
      <c r="M24" s="268">
        <f t="shared" si="21"/>
        <v>73.05</v>
      </c>
      <c r="N24" s="514">
        <f t="shared" si="22"/>
        <v>22.860121449792032</v>
      </c>
      <c r="O24" s="515">
        <f t="shared" si="22"/>
        <v>28.6356</v>
      </c>
      <c r="P24" s="268">
        <f t="shared" si="22"/>
        <v>51.495721449792029</v>
      </c>
      <c r="Q24" s="514">
        <v>0</v>
      </c>
      <c r="R24" s="515">
        <f t="shared" si="2"/>
        <v>36.057962203568664</v>
      </c>
      <c r="S24" s="268">
        <f t="shared" si="3"/>
        <v>36.057962203568664</v>
      </c>
      <c r="T24" s="514">
        <v>0</v>
      </c>
      <c r="U24" s="515">
        <f t="shared" si="4"/>
        <v>34.017767855278102</v>
      </c>
      <c r="V24" s="268">
        <f t="shared" si="13"/>
        <v>34.017767855278102</v>
      </c>
      <c r="W24" s="263"/>
      <c r="Y24" s="516" t="str">
        <f t="shared" si="5"/>
        <v>Other</v>
      </c>
      <c r="Z24" s="517">
        <f t="shared" si="6"/>
        <v>4.8160696200000004</v>
      </c>
      <c r="AA24" s="518">
        <f t="shared" si="7"/>
        <v>2.3022538501984551</v>
      </c>
      <c r="AB24" s="519">
        <f t="shared" si="8"/>
        <v>9.7197179402045336E-2</v>
      </c>
      <c r="AC24" s="520">
        <f t="shared" si="9"/>
        <v>3.1945963853610073</v>
      </c>
      <c r="AD24" s="521">
        <f t="shared" si="9"/>
        <v>32.116236986547321</v>
      </c>
      <c r="AE24" s="522">
        <f t="shared" si="23"/>
        <v>9.0533003586047709</v>
      </c>
      <c r="AF24" s="523">
        <f t="shared" si="24"/>
        <v>6.1289303674251245</v>
      </c>
      <c r="AG24" s="523">
        <f t="shared" si="12"/>
        <v>1.2651569093675759</v>
      </c>
      <c r="AI24" s="506"/>
      <c r="AJ24" s="524"/>
      <c r="AK24" s="524">
        <f t="shared" si="14"/>
        <v>73.05</v>
      </c>
      <c r="AL24" s="524">
        <f t="shared" si="15"/>
        <v>51.495721449792029</v>
      </c>
      <c r="AM24" s="524">
        <f t="shared" si="16"/>
        <v>36.057962203568664</v>
      </c>
      <c r="AN24" s="524">
        <f t="shared" si="17"/>
        <v>34.017767855278102</v>
      </c>
    </row>
    <row r="25" spans="2:40" ht="15" x14ac:dyDescent="0.25">
      <c r="B25" s="367" t="s">
        <v>427</v>
      </c>
      <c r="C25" s="587">
        <v>46.463999999999999</v>
      </c>
      <c r="D25" s="587">
        <v>50.335999999999999</v>
      </c>
      <c r="E25" s="588">
        <v>218</v>
      </c>
      <c r="F25" s="588">
        <v>45357092</v>
      </c>
      <c r="G25" s="587" t="b">
        <v>1</v>
      </c>
      <c r="H25" s="587" t="b">
        <v>1</v>
      </c>
      <c r="J25" s="138" t="str">
        <f t="shared" si="18"/>
        <v>Public assembly</v>
      </c>
      <c r="K25" s="514">
        <f t="shared" si="19"/>
        <v>46.463999999999999</v>
      </c>
      <c r="L25" s="515">
        <f t="shared" si="20"/>
        <v>50.335999999999999</v>
      </c>
      <c r="M25" s="268">
        <f t="shared" si="21"/>
        <v>96.8</v>
      </c>
      <c r="N25" s="514">
        <f t="shared" si="22"/>
        <v>35.600010380767948</v>
      </c>
      <c r="O25" s="515">
        <f t="shared" si="22"/>
        <v>35.235199999999999</v>
      </c>
      <c r="P25" s="268">
        <f t="shared" si="22"/>
        <v>70.835210380767947</v>
      </c>
      <c r="Q25" s="514">
        <v>0</v>
      </c>
      <c r="R25" s="515">
        <f t="shared" si="2"/>
        <v>50.273823764107121</v>
      </c>
      <c r="S25" s="268">
        <f t="shared" si="3"/>
        <v>50.273823764107121</v>
      </c>
      <c r="T25" s="514">
        <v>0</v>
      </c>
      <c r="U25" s="515">
        <f t="shared" si="4"/>
        <v>45.330044848413863</v>
      </c>
      <c r="V25" s="268">
        <f t="shared" si="13"/>
        <v>45.330044848413863</v>
      </c>
      <c r="W25" s="263"/>
      <c r="Y25" s="516" t="str">
        <f t="shared" si="5"/>
        <v>Public assembly</v>
      </c>
      <c r="Z25" s="517">
        <f t="shared" si="6"/>
        <v>6.2932390399999996</v>
      </c>
      <c r="AA25" s="518">
        <f t="shared" si="7"/>
        <v>3.2296541513225856</v>
      </c>
      <c r="AB25" s="519">
        <f t="shared" si="8"/>
        <v>0.13551719423409664</v>
      </c>
      <c r="AC25" s="520">
        <f t="shared" si="9"/>
        <v>9.865156876767827</v>
      </c>
      <c r="AD25" s="521">
        <f t="shared" si="9"/>
        <v>43.413536204469899</v>
      </c>
      <c r="AE25" s="522">
        <f t="shared" si="23"/>
        <v>3.4006939521364918</v>
      </c>
      <c r="AF25" s="523">
        <f t="shared" si="24"/>
        <v>5.4481803770935509</v>
      </c>
      <c r="AG25" s="523">
        <f t="shared" si="12"/>
        <v>0.94236993104433975</v>
      </c>
      <c r="AI25" s="506"/>
      <c r="AJ25" s="524"/>
      <c r="AK25" s="524">
        <f t="shared" si="14"/>
        <v>96.8</v>
      </c>
      <c r="AL25" s="524">
        <f t="shared" si="15"/>
        <v>70.835210380767947</v>
      </c>
      <c r="AM25" s="524">
        <f t="shared" si="16"/>
        <v>50.273823764107121</v>
      </c>
      <c r="AN25" s="524">
        <f t="shared" si="17"/>
        <v>45.330044848413863</v>
      </c>
    </row>
    <row r="26" spans="2:40" ht="15" x14ac:dyDescent="0.25">
      <c r="B26" s="367" t="s">
        <v>488</v>
      </c>
      <c r="C26" s="587">
        <v>67.0535</v>
      </c>
      <c r="D26" s="587">
        <v>46.596500000000006</v>
      </c>
      <c r="E26" s="588">
        <v>162</v>
      </c>
      <c r="F26" s="588">
        <v>22091523</v>
      </c>
      <c r="G26" s="587" t="b">
        <v>1</v>
      </c>
      <c r="H26" s="587" t="b">
        <v>1</v>
      </c>
      <c r="J26" s="138" t="str">
        <f t="shared" si="18"/>
        <v>Public order and safety</v>
      </c>
      <c r="K26" s="514">
        <f t="shared" si="19"/>
        <v>67.0535</v>
      </c>
      <c r="L26" s="515">
        <f t="shared" si="20"/>
        <v>46.596500000000006</v>
      </c>
      <c r="M26" s="268">
        <f t="shared" si="21"/>
        <v>113.65</v>
      </c>
      <c r="N26" s="514">
        <f t="shared" si="22"/>
        <v>55.429601285636529</v>
      </c>
      <c r="O26" s="515">
        <f t="shared" si="22"/>
        <v>32.617550000000001</v>
      </c>
      <c r="P26" s="268">
        <f t="shared" si="22"/>
        <v>88.047151285636531</v>
      </c>
      <c r="Q26" s="514">
        <v>0</v>
      </c>
      <c r="R26" s="515">
        <f t="shared" si="2"/>
        <v>53.673159049576974</v>
      </c>
      <c r="S26" s="268">
        <f t="shared" si="3"/>
        <v>53.673159049576974</v>
      </c>
      <c r="T26" s="514">
        <v>0</v>
      </c>
      <c r="U26" s="515">
        <f t="shared" si="4"/>
        <v>48.161981342852251</v>
      </c>
      <c r="V26" s="268">
        <f t="shared" si="13"/>
        <v>48.161981342852251</v>
      </c>
      <c r="W26" s="263"/>
      <c r="Y26" s="516" t="str">
        <f t="shared" si="5"/>
        <v>Public order and safety</v>
      </c>
      <c r="Z26" s="517">
        <f t="shared" si="6"/>
        <v>7.1025453850000009</v>
      </c>
      <c r="AA26" s="518">
        <f t="shared" si="7"/>
        <v>4.1833330242801559</v>
      </c>
      <c r="AB26" s="519">
        <f t="shared" si="8"/>
        <v>0.14468037987737228</v>
      </c>
      <c r="AC26" s="520">
        <f t="shared" si="9"/>
        <v>9.3852836988575863</v>
      </c>
      <c r="AD26" s="521">
        <f t="shared" si="9"/>
        <v>48.345986607842434</v>
      </c>
      <c r="AE26" s="522">
        <f t="shared" si="23"/>
        <v>4.1512546833003352</v>
      </c>
      <c r="AF26" s="523">
        <f t="shared" si="24"/>
        <v>5.5995198067655219</v>
      </c>
      <c r="AG26" s="523">
        <f t="shared" si="12"/>
        <v>0.70288621973329501</v>
      </c>
      <c r="AI26" s="506"/>
      <c r="AJ26" s="524"/>
      <c r="AK26" s="524">
        <f t="shared" si="14"/>
        <v>113.65</v>
      </c>
      <c r="AL26" s="524">
        <f t="shared" si="15"/>
        <v>88.047151285636531</v>
      </c>
      <c r="AM26" s="524">
        <f t="shared" si="16"/>
        <v>53.673159049576974</v>
      </c>
      <c r="AN26" s="524">
        <f t="shared" si="17"/>
        <v>48.161981342852251</v>
      </c>
    </row>
    <row r="27" spans="2:40" ht="15" x14ac:dyDescent="0.25">
      <c r="B27" s="367" t="s">
        <v>431</v>
      </c>
      <c r="C27" s="587">
        <v>42.120000000000005</v>
      </c>
      <c r="D27" s="587">
        <v>38.879999999999995</v>
      </c>
      <c r="E27" s="588">
        <v>55</v>
      </c>
      <c r="F27" s="588">
        <v>10555813</v>
      </c>
      <c r="G27" s="587" t="b">
        <v>1</v>
      </c>
      <c r="H27" s="587" t="b">
        <v>1</v>
      </c>
      <c r="J27" s="138" t="str">
        <f t="shared" si="18"/>
        <v>Religious worship</v>
      </c>
      <c r="K27" s="514">
        <f t="shared" si="19"/>
        <v>42.120000000000005</v>
      </c>
      <c r="L27" s="515">
        <f t="shared" si="20"/>
        <v>38.879999999999995</v>
      </c>
      <c r="M27" s="268">
        <f t="shared" si="21"/>
        <v>81</v>
      </c>
      <c r="N27" s="514">
        <f t="shared" si="22"/>
        <v>31.315976154992551</v>
      </c>
      <c r="O27" s="515">
        <f t="shared" si="22"/>
        <v>27.215999999999994</v>
      </c>
      <c r="P27" s="268">
        <f t="shared" si="22"/>
        <v>58.531976154992549</v>
      </c>
      <c r="Q27" s="514">
        <v>0</v>
      </c>
      <c r="R27" s="515">
        <f t="shared" si="2"/>
        <v>39.003148215094129</v>
      </c>
      <c r="S27" s="268">
        <f t="shared" si="3"/>
        <v>39.003148215094129</v>
      </c>
      <c r="T27" s="514">
        <v>0</v>
      </c>
      <c r="U27" s="515">
        <f t="shared" si="4"/>
        <v>34.10414374415523</v>
      </c>
      <c r="V27" s="268">
        <f t="shared" si="13"/>
        <v>34.10414374415523</v>
      </c>
      <c r="W27" s="263"/>
      <c r="Y27" s="516" t="str">
        <f t="shared" si="5"/>
        <v>Religious worship</v>
      </c>
      <c r="Z27" s="517">
        <f t="shared" si="6"/>
        <v>5.1918731999999999</v>
      </c>
      <c r="AA27" s="518">
        <f t="shared" si="7"/>
        <v>2.6973994935916541</v>
      </c>
      <c r="AB27" s="519">
        <f t="shared" si="8"/>
        <v>0.10513616861942</v>
      </c>
      <c r="AC27" s="520">
        <f t="shared" si="9"/>
        <v>8.2022811018158261</v>
      </c>
      <c r="AD27" s="521">
        <f t="shared" si="9"/>
        <v>41.474540240339678</v>
      </c>
      <c r="AE27" s="522">
        <f t="shared" si="23"/>
        <v>4.0564641379040296</v>
      </c>
      <c r="AF27" s="523">
        <f t="shared" si="24"/>
        <v>6.5409827426234175</v>
      </c>
      <c r="AG27" s="523">
        <f t="shared" si="12"/>
        <v>1.0624691682561336</v>
      </c>
      <c r="AJ27" s="524"/>
      <c r="AK27" s="524">
        <f t="shared" si="14"/>
        <v>81</v>
      </c>
      <c r="AL27" s="524">
        <f t="shared" si="15"/>
        <v>58.531976154992549</v>
      </c>
      <c r="AM27" s="524">
        <f t="shared" si="16"/>
        <v>39.003148215094129</v>
      </c>
      <c r="AN27" s="524">
        <f t="shared" si="17"/>
        <v>34.10414374415523</v>
      </c>
    </row>
    <row r="28" spans="2:40" ht="15" x14ac:dyDescent="0.25">
      <c r="B28" s="367" t="s">
        <v>433</v>
      </c>
      <c r="C28" s="587">
        <v>89.376000000000005</v>
      </c>
      <c r="D28" s="587">
        <v>32.223999999999997</v>
      </c>
      <c r="E28" s="588">
        <v>88</v>
      </c>
      <c r="F28" s="588">
        <v>10152313</v>
      </c>
      <c r="G28" s="587" t="b">
        <v>1</v>
      </c>
      <c r="H28" s="587" t="b">
        <v>1</v>
      </c>
      <c r="J28" s="138" t="str">
        <f t="shared" si="18"/>
        <v>Service</v>
      </c>
      <c r="K28" s="514">
        <f t="shared" si="19"/>
        <v>89.376000000000005</v>
      </c>
      <c r="L28" s="515">
        <f t="shared" si="20"/>
        <v>32.223999999999997</v>
      </c>
      <c r="M28" s="268">
        <f t="shared" si="21"/>
        <v>121.6</v>
      </c>
      <c r="N28" s="514">
        <f t="shared" si="22"/>
        <v>69.060996113032076</v>
      </c>
      <c r="O28" s="515">
        <f t="shared" si="22"/>
        <v>22.556799999999996</v>
      </c>
      <c r="P28" s="268">
        <f t="shared" si="22"/>
        <v>91.617796113032071</v>
      </c>
      <c r="Q28" s="514">
        <v>0</v>
      </c>
      <c r="R28" s="515">
        <f t="shared" si="2"/>
        <v>46.585967298828265</v>
      </c>
      <c r="S28" s="268">
        <f t="shared" si="3"/>
        <v>46.585967298828265</v>
      </c>
      <c r="T28" s="514">
        <v>0</v>
      </c>
      <c r="U28" s="515">
        <f t="shared" si="4"/>
        <v>34.585431063225549</v>
      </c>
      <c r="V28" s="268">
        <f t="shared" si="13"/>
        <v>34.585431063225549</v>
      </c>
      <c r="W28" s="263"/>
      <c r="Y28" s="516" t="str">
        <f t="shared" si="5"/>
        <v>Service</v>
      </c>
      <c r="Z28" s="517">
        <f t="shared" si="6"/>
        <v>7.1957833600000001</v>
      </c>
      <c r="AA28" s="518">
        <f t="shared" si="7"/>
        <v>4.5249879035631331</v>
      </c>
      <c r="AB28" s="519">
        <f t="shared" si="8"/>
        <v>0.12557627620769674</v>
      </c>
      <c r="AC28" s="520">
        <f t="shared" ref="AC28:AD30" si="25">AN52</f>
        <v>8.9665538196466894</v>
      </c>
      <c r="AD28" s="521">
        <f t="shared" si="25"/>
        <v>74.669335941502567</v>
      </c>
      <c r="AE28" s="522">
        <f t="shared" si="23"/>
        <v>7.3275400386148331</v>
      </c>
      <c r="AF28" s="523">
        <f t="shared" si="24"/>
        <v>9.2929077385120031</v>
      </c>
      <c r="AG28" s="523">
        <f t="shared" si="12"/>
        <v>0.95137321816673748</v>
      </c>
      <c r="AJ28" s="524"/>
      <c r="AK28" s="524">
        <f t="shared" si="14"/>
        <v>121.6</v>
      </c>
      <c r="AL28" s="524">
        <f t="shared" si="15"/>
        <v>91.617796113032071</v>
      </c>
      <c r="AM28" s="524">
        <f t="shared" si="16"/>
        <v>46.585967298828265</v>
      </c>
      <c r="AN28" s="524">
        <f t="shared" si="17"/>
        <v>34.585431063225549</v>
      </c>
    </row>
    <row r="29" spans="2:40" ht="15" x14ac:dyDescent="0.25">
      <c r="B29" s="367" t="s">
        <v>489</v>
      </c>
      <c r="C29" s="587">
        <v>29.067999999999991</v>
      </c>
      <c r="D29" s="587">
        <v>38.532000000000004</v>
      </c>
      <c r="E29" s="588">
        <v>296</v>
      </c>
      <c r="F29" s="588">
        <v>103653477</v>
      </c>
      <c r="G29" s="587" t="b">
        <v>1</v>
      </c>
      <c r="H29" s="587" t="b">
        <v>1</v>
      </c>
      <c r="J29" s="138" t="str">
        <f t="shared" si="18"/>
        <v>Warehouse and storage</v>
      </c>
      <c r="K29" s="514">
        <f t="shared" si="19"/>
        <v>29.067999999999991</v>
      </c>
      <c r="L29" s="515">
        <f t="shared" si="20"/>
        <v>38.532000000000004</v>
      </c>
      <c r="M29" s="268">
        <f t="shared" si="21"/>
        <v>67.599999999999994</v>
      </c>
      <c r="N29" s="514">
        <f t="shared" si="22"/>
        <v>23.048744277550067</v>
      </c>
      <c r="O29" s="515">
        <f t="shared" si="22"/>
        <v>26.9724</v>
      </c>
      <c r="P29" s="268">
        <f t="shared" si="22"/>
        <v>50.021144277550064</v>
      </c>
      <c r="Q29" s="514">
        <v>0</v>
      </c>
      <c r="R29" s="515">
        <f t="shared" si="2"/>
        <v>38.183110933999785</v>
      </c>
      <c r="S29" s="268">
        <f t="shared" si="3"/>
        <v>38.183110933999785</v>
      </c>
      <c r="T29" s="514">
        <v>0</v>
      </c>
      <c r="U29" s="515">
        <f t="shared" si="4"/>
        <v>36.856733327903839</v>
      </c>
      <c r="V29" s="268">
        <f t="shared" si="13"/>
        <v>36.856733327903839</v>
      </c>
      <c r="W29" s="263"/>
      <c r="Y29" s="516" t="str">
        <f t="shared" si="5"/>
        <v>Warehouse and storage</v>
      </c>
      <c r="Z29" s="517">
        <f t="shared" si="6"/>
        <v>4.4722334799999999</v>
      </c>
      <c r="AA29" s="518">
        <f t="shared" si="7"/>
        <v>2.2490700085806843</v>
      </c>
      <c r="AB29" s="519">
        <f t="shared" si="8"/>
        <v>0.10292569121426581</v>
      </c>
      <c r="AC29" s="520">
        <f t="shared" si="25"/>
        <v>6.3379450924320215</v>
      </c>
      <c r="AD29" s="521">
        <f t="shared" si="25"/>
        <v>25.056337782014502</v>
      </c>
      <c r="AE29" s="522">
        <f t="shared" si="23"/>
        <v>2.9533851140385603</v>
      </c>
      <c r="AF29" s="523">
        <f t="shared" si="24"/>
        <v>4.2840636536581629</v>
      </c>
      <c r="AG29" s="523">
        <f t="shared" si="12"/>
        <v>0.81212201689506203</v>
      </c>
      <c r="AJ29" s="524"/>
      <c r="AK29" s="524">
        <f t="shared" si="14"/>
        <v>67.599999999999994</v>
      </c>
      <c r="AL29" s="524">
        <f t="shared" si="15"/>
        <v>50.021144277550064</v>
      </c>
      <c r="AM29" s="524">
        <f t="shared" si="16"/>
        <v>38.183110933999785</v>
      </c>
      <c r="AN29" s="524">
        <f t="shared" si="17"/>
        <v>36.856733327903839</v>
      </c>
    </row>
    <row r="30" spans="2:40" ht="15" x14ac:dyDescent="0.25">
      <c r="B30" s="367" t="s">
        <v>438</v>
      </c>
      <c r="C30" s="587"/>
      <c r="D30" s="587"/>
      <c r="E30" s="588"/>
      <c r="F30" s="588"/>
      <c r="G30" s="587" t="b">
        <v>1</v>
      </c>
      <c r="H30" s="587" t="b">
        <v>1</v>
      </c>
      <c r="J30" s="138" t="str">
        <f t="shared" si="18"/>
        <v>Vacant</v>
      </c>
      <c r="K30" s="514">
        <f t="shared" si="19"/>
        <v>33.48205032552687</v>
      </c>
      <c r="L30" s="515">
        <f t="shared" si="20"/>
        <v>13.772289156626506</v>
      </c>
      <c r="M30" s="268">
        <f t="shared" si="21"/>
        <v>47.254339482153377</v>
      </c>
      <c r="N30" s="514">
        <f t="shared" si="22"/>
        <v>24.100274301172366</v>
      </c>
      <c r="O30" s="515">
        <f t="shared" si="22"/>
        <v>9.6406024096385536</v>
      </c>
      <c r="P30" s="268">
        <f t="shared" si="22"/>
        <v>33.740876710810923</v>
      </c>
      <c r="Q30" s="514">
        <v>0</v>
      </c>
      <c r="R30" s="515">
        <f t="shared" si="2"/>
        <v>17.549533304752345</v>
      </c>
      <c r="S30" s="268">
        <f t="shared" si="3"/>
        <v>17.549533304752345</v>
      </c>
      <c r="T30" s="514">
        <v>0</v>
      </c>
      <c r="U30" s="515">
        <f t="shared" si="4"/>
        <v>13.712473873234313</v>
      </c>
      <c r="V30" s="268">
        <f t="shared" si="13"/>
        <v>13.712473873234313</v>
      </c>
      <c r="W30" s="263"/>
      <c r="Y30" s="516" t="str">
        <f t="shared" si="5"/>
        <v>Vacant</v>
      </c>
      <c r="Z30" s="517">
        <f t="shared" si="6"/>
        <v>2.8249256686923463</v>
      </c>
      <c r="AA30" s="518">
        <f t="shared" si="7"/>
        <v>1.6463084597015292</v>
      </c>
      <c r="AB30" s="519">
        <f t="shared" si="8"/>
        <v>4.7306199041812831E-2</v>
      </c>
      <c r="AC30" s="520">
        <f t="shared" si="25"/>
        <v>3.3321448120345249</v>
      </c>
      <c r="AD30" s="521">
        <f t="shared" si="25"/>
        <v>32.690592283534045</v>
      </c>
      <c r="AE30" s="522">
        <f t="shared" si="23"/>
        <v>8.8106757441835128</v>
      </c>
      <c r="AF30" s="523">
        <f t="shared" si="24"/>
        <v>10.569643463506273</v>
      </c>
      <c r="AG30" s="523">
        <f t="shared" si="12"/>
        <v>1.2181789760820843</v>
      </c>
      <c r="AJ30" s="524"/>
      <c r="AK30" s="524">
        <f t="shared" si="14"/>
        <v>47.254339482153377</v>
      </c>
      <c r="AL30" s="524">
        <f t="shared" si="15"/>
        <v>33.740876710810923</v>
      </c>
      <c r="AM30" s="524">
        <f t="shared" si="16"/>
        <v>17.549533304752345</v>
      </c>
      <c r="AN30" s="524">
        <f t="shared" si="17"/>
        <v>13.712473873234313</v>
      </c>
    </row>
    <row r="31" spans="2:40" x14ac:dyDescent="0.2">
      <c r="B31" s="526"/>
      <c r="C31" s="526"/>
      <c r="D31" s="525"/>
      <c r="E31" s="525"/>
      <c r="F31" s="267"/>
      <c r="G31" s="525"/>
      <c r="H31" s="525"/>
      <c r="I31" s="525"/>
      <c r="J31" s="525"/>
      <c r="N31" s="526"/>
      <c r="O31" s="525"/>
      <c r="P31" s="525"/>
      <c r="Q31" s="267"/>
      <c r="R31" s="525"/>
      <c r="S31" s="525"/>
      <c r="T31" s="525"/>
      <c r="U31" s="525"/>
    </row>
    <row r="32" spans="2:40" x14ac:dyDescent="0.2">
      <c r="L32" s="506"/>
      <c r="M32" s="506"/>
      <c r="N32" s="506"/>
      <c r="O32" s="506"/>
      <c r="P32" s="506"/>
      <c r="Q32" s="506"/>
      <c r="R32" s="506"/>
    </row>
    <row r="33" spans="1:43" ht="18.75" thickBot="1" x14ac:dyDescent="0.3">
      <c r="A33" s="526"/>
      <c r="B33" s="337" t="s">
        <v>490</v>
      </c>
      <c r="C33" s="526"/>
      <c r="D33" s="526"/>
      <c r="E33" s="526"/>
      <c r="F33" s="526"/>
      <c r="G33" s="526"/>
      <c r="H33" s="526"/>
      <c r="I33" s="526"/>
      <c r="J33" s="526"/>
      <c r="K33" s="526"/>
      <c r="L33" s="526"/>
      <c r="M33" s="526"/>
      <c r="N33" s="526"/>
      <c r="O33" s="526"/>
      <c r="P33" s="526"/>
      <c r="Q33" s="526" t="s">
        <v>491</v>
      </c>
      <c r="R33" s="526"/>
      <c r="S33" s="526"/>
      <c r="T33" s="526"/>
      <c r="U33" s="526"/>
      <c r="V33" s="526" t="s">
        <v>491</v>
      </c>
      <c r="Y33" s="526"/>
      <c r="Z33" s="526"/>
      <c r="AA33" s="526"/>
      <c r="AB33" s="526"/>
      <c r="AC33" s="526"/>
    </row>
    <row r="34" spans="1:43" ht="36" x14ac:dyDescent="0.25">
      <c r="B34" s="526" t="str">
        <f>C2</f>
        <v>NYC</v>
      </c>
      <c r="C34" s="526"/>
      <c r="D34" s="269">
        <v>10</v>
      </c>
      <c r="E34" s="526"/>
      <c r="F34" s="350" t="s">
        <v>492</v>
      </c>
      <c r="G34" s="578" t="s">
        <v>493</v>
      </c>
      <c r="H34" s="527"/>
      <c r="I34" s="647" t="s">
        <v>494</v>
      </c>
      <c r="J34" s="647"/>
      <c r="K34" s="647" t="s">
        <v>495</v>
      </c>
      <c r="L34" s="647"/>
      <c r="M34" s="647"/>
      <c r="N34" s="648"/>
      <c r="O34" s="526"/>
      <c r="P34" s="526"/>
      <c r="Q34" s="526" t="s">
        <v>496</v>
      </c>
      <c r="R34" s="526"/>
      <c r="S34" s="526"/>
      <c r="T34" s="526"/>
      <c r="U34" s="526"/>
      <c r="V34" s="526" t="s">
        <v>491</v>
      </c>
      <c r="W34" s="526"/>
      <c r="X34" s="526"/>
      <c r="Y34" s="526"/>
      <c r="Z34" s="526" t="s">
        <v>497</v>
      </c>
      <c r="AA34" s="526"/>
      <c r="AB34" s="526"/>
      <c r="AC34" s="526"/>
      <c r="AD34" s="138" t="s">
        <v>1492</v>
      </c>
      <c r="AE34" s="138"/>
      <c r="AJ34" s="138" t="s">
        <v>521</v>
      </c>
      <c r="AK34" s="526"/>
      <c r="AL34" s="526"/>
    </row>
    <row r="35" spans="1:43" ht="29.25" customHeight="1" x14ac:dyDescent="0.2">
      <c r="B35" s="512" t="s">
        <v>499</v>
      </c>
      <c r="C35" s="512" t="s">
        <v>472</v>
      </c>
      <c r="D35" s="512" t="s">
        <v>498</v>
      </c>
      <c r="E35" s="512" t="s">
        <v>500</v>
      </c>
      <c r="F35" s="528" t="s">
        <v>501</v>
      </c>
      <c r="G35" s="512" t="s">
        <v>502</v>
      </c>
      <c r="H35" s="512" t="s">
        <v>505</v>
      </c>
      <c r="I35" s="512" t="s">
        <v>503</v>
      </c>
      <c r="J35" s="512" t="s">
        <v>504</v>
      </c>
      <c r="K35" s="605" t="s">
        <v>506</v>
      </c>
      <c r="L35" s="605" t="s">
        <v>507</v>
      </c>
      <c r="M35" s="512" t="s">
        <v>508</v>
      </c>
      <c r="N35" s="589" t="s">
        <v>509</v>
      </c>
      <c r="O35" s="526"/>
      <c r="P35" s="526"/>
      <c r="Q35" s="526" t="s">
        <v>510</v>
      </c>
      <c r="R35" s="526" t="s">
        <v>511</v>
      </c>
      <c r="S35" s="526" t="s">
        <v>512</v>
      </c>
      <c r="T35" s="526" t="s">
        <v>173</v>
      </c>
      <c r="U35" s="526"/>
      <c r="V35" s="526" t="s">
        <v>513</v>
      </c>
      <c r="W35" s="526" t="s">
        <v>514</v>
      </c>
      <c r="X35" s="526" t="s">
        <v>475</v>
      </c>
      <c r="Y35" s="526"/>
      <c r="Z35" s="529" t="s">
        <v>515</v>
      </c>
      <c r="AA35" s="529" t="s">
        <v>514</v>
      </c>
      <c r="AB35" s="529" t="s">
        <v>516</v>
      </c>
      <c r="AD35" s="498" t="s">
        <v>524</v>
      </c>
      <c r="AE35" s="585" t="str">
        <f>R35</f>
        <v>Water Heating</v>
      </c>
      <c r="AF35" s="585" t="str">
        <f>S35</f>
        <v>Cooking</v>
      </c>
      <c r="AG35" s="585" t="str">
        <f t="shared" ref="AG35:AG54" si="26">T35</f>
        <v>Other</v>
      </c>
      <c r="AH35" s="498" t="s">
        <v>527</v>
      </c>
      <c r="AI35" s="498" t="s">
        <v>528</v>
      </c>
      <c r="AJ35" s="512" t="s">
        <v>515</v>
      </c>
      <c r="AK35" s="512" t="s">
        <v>514</v>
      </c>
      <c r="AL35" s="512" t="s">
        <v>516</v>
      </c>
      <c r="AM35" s="498"/>
      <c r="AN35" s="498" t="s">
        <v>517</v>
      </c>
      <c r="AO35" s="512" t="s">
        <v>518</v>
      </c>
      <c r="AP35" s="498" t="s">
        <v>1500</v>
      </c>
      <c r="AQ35" s="498" t="s">
        <v>1499</v>
      </c>
    </row>
    <row r="36" spans="1:43" ht="14.25" x14ac:dyDescent="0.2">
      <c r="B36" s="367" t="s">
        <v>442</v>
      </c>
      <c r="C36" s="525">
        <f t="shared" ref="C36:C54" si="27">F12</f>
        <v>382883357</v>
      </c>
      <c r="D36" s="526" t="b">
        <f t="shared" ref="D36:D54" si="28">E12&gt;=D$34+0</f>
        <v>1</v>
      </c>
      <c r="E36" s="526" t="str">
        <f t="shared" ref="E36:E54" si="29">IF(D36=TRUE,"City","CBECS")</f>
        <v>City</v>
      </c>
      <c r="F36" s="617">
        <f t="shared" ref="F36:F54" si="30">G36+H36</f>
        <v>85.300000000000011</v>
      </c>
      <c r="G36" s="531">
        <f>IF(D36,D12,'Typology Baseline - climate adj'!H36*$I$57+'Typology Baseline - climate adj'!I36)</f>
        <v>30.708000000000002</v>
      </c>
      <c r="H36" s="531">
        <f>IF(D36,C12,SUM('Typology Baseline - climate adj'!C36*$K$57*$K$58*G12,'Typology Baseline - climate adj'!$D36*H12,'Typology Baseline - climate adj'!$E36:$F36))</f>
        <v>54.592000000000013</v>
      </c>
      <c r="I36" s="531">
        <f>'Typology Baseline - climate adj'!H36*$I$57/'Typology Baseline - climate adj'!G36*G36</f>
        <v>6.3009742354031513</v>
      </c>
      <c r="J36" s="531">
        <f t="shared" ref="J36:J54" si="31">G36-I36</f>
        <v>24.407025764596852</v>
      </c>
      <c r="K36" s="531">
        <f>IF(G12,'Typology Baseline - climate adj'!C36*$K$57*$K$58*H36/SUM('Typology Baseline - climate adj'!C36*$K$57*$K$58,'Typology Baseline - climate adj'!D36*H12,'Typology Baseline - climate adj'!$E36:$F36),0)</f>
        <v>35.485703066723502</v>
      </c>
      <c r="L36" s="531">
        <f>IF(H12,($H36-$K36)/SUM('Typology Baseline - climate adj'!$D36:$F36)*'Typology Baseline - climate adj'!D36,0)</f>
        <v>16.844568275525752</v>
      </c>
      <c r="M36" s="531">
        <f>IF('Typology Baseline - climate adj'!E36=0,0,($H36-$K36-$L36)/SUM('Typology Baseline - climate adj'!$E36:$F36)*'Typology Baseline - climate adj'!E36)</f>
        <v>2.2617286577507585</v>
      </c>
      <c r="N36" s="618">
        <f>IF('Typology Baseline - climate adj'!F36=0,0,($H36-$K36-$L36)/SUM('Typology Baseline - climate adj'!$E36:$F36)*'Typology Baseline - climate adj'!F36)</f>
        <v>0</v>
      </c>
      <c r="O36" s="612"/>
      <c r="P36" s="526"/>
      <c r="Q36" s="525">
        <f t="shared" ref="Q36:Q54" si="32">K36*(1-G$4)</f>
        <v>24.83999214670645</v>
      </c>
      <c r="R36" s="525">
        <f t="shared" ref="R36:R54" si="33">L36*(1-G$5)</f>
        <v>16.844568275525752</v>
      </c>
      <c r="S36" s="525">
        <f t="shared" ref="S36:S54" si="34">M36*(1-G$6)</f>
        <v>2.2617286577507585</v>
      </c>
      <c r="T36" s="525">
        <f t="shared" ref="T36:T54" si="35">N36*(1-G$7)</f>
        <v>0</v>
      </c>
      <c r="U36" s="526"/>
      <c r="V36" s="525">
        <f t="shared" ref="V36:V38" si="36">SUM(Q36:T36)</f>
        <v>43.946289079982961</v>
      </c>
      <c r="W36" s="533">
        <f t="shared" ref="W36:W54" si="37">G36*(1-$G$3)</f>
        <v>21.4956</v>
      </c>
      <c r="X36" s="533">
        <f t="shared" ref="X36:X38" si="38">W36+V36</f>
        <v>65.441889079982957</v>
      </c>
      <c r="Y36" s="526"/>
      <c r="Z36" s="525">
        <f>SUMPRODUCT(Q36:T36,'Electrification of Gas End Uses'!$D$4:$G$4)</f>
        <v>16.217606346262077</v>
      </c>
      <c r="AA36" s="533">
        <f t="shared" ref="AA36:AA38" si="39">W36</f>
        <v>21.4956</v>
      </c>
      <c r="AB36" s="533">
        <f t="shared" ref="AB36:AB38" si="40">AA36+Z36</f>
        <v>37.713206346262076</v>
      </c>
      <c r="AD36" s="525">
        <f t="shared" ref="AD36:AD38" si="41">IF($AD$59&lt;Q36,$AD$59,Q36)</f>
        <v>9.8999999999999986</v>
      </c>
      <c r="AE36" s="538">
        <f t="shared" ref="AE36:AF51" si="42">R36</f>
        <v>16.844568275525752</v>
      </c>
      <c r="AF36" s="538">
        <f t="shared" si="42"/>
        <v>2.2617286577507585</v>
      </c>
      <c r="AG36" s="538">
        <f t="shared" si="26"/>
        <v>0</v>
      </c>
      <c r="AH36" s="538">
        <f t="shared" ref="AH36:AH54" si="43">J36*(1-$G$3)</f>
        <v>17.084918035217797</v>
      </c>
      <c r="AI36" s="539">
        <f t="shared" ref="AI36:AI54" si="44">IF(AND(AP36&gt;I36*0.7,AP36&lt;I36),AP36,I36*0.7)</f>
        <v>4.4106819647822055</v>
      </c>
      <c r="AJ36" s="525">
        <f>SUMPRODUCT(AD36:AG36,'Electrification of Gas End Uses'!$D$4:$G$4)</f>
        <v>11.436808859316013</v>
      </c>
      <c r="AK36" s="533">
        <f t="shared" ref="AK36:AK38" si="45">SUM(AH36:AI36)</f>
        <v>21.495600000000003</v>
      </c>
      <c r="AL36" s="533">
        <f t="shared" ref="AL36:AL54" si="46">AK36+AJ36</f>
        <v>32.932408859316013</v>
      </c>
      <c r="AN36" s="534">
        <f>SUMPRODUCT(K36:N36,'Electrification of Gas End Uses'!$D$5:$G$5)</f>
        <v>6.9834331905327183</v>
      </c>
      <c r="AO36" s="521">
        <f>SUMPRODUCT(K36:N36,'Electrification of Gas End Uses'!$D$6:$G$6)</f>
        <v>42.027773156213442</v>
      </c>
      <c r="AP36" s="540">
        <f>(AH$57+IF(AH36&gt;(AH$60),AH36-AH$60,0))*(1+$AH$59)/'Electrification of Gas End Uses'!$D$12</f>
        <v>6.3862872140871181</v>
      </c>
      <c r="AQ36" s="541">
        <f t="shared" ref="AQ36:AQ54" si="47">1-AI36/(I36*(1-$G$3))</f>
        <v>0</v>
      </c>
    </row>
    <row r="37" spans="1:43" ht="14.25" x14ac:dyDescent="0.2">
      <c r="B37" s="367" t="s">
        <v>440</v>
      </c>
      <c r="C37" s="525">
        <f t="shared" si="27"/>
        <v>1702274825</v>
      </c>
      <c r="D37" s="526" t="b">
        <f t="shared" si="28"/>
        <v>1</v>
      </c>
      <c r="E37" s="526" t="str">
        <f t="shared" si="29"/>
        <v>City</v>
      </c>
      <c r="F37" s="617">
        <f t="shared" si="30"/>
        <v>96.9</v>
      </c>
      <c r="G37" s="531">
        <f>IF(D37,D13,'Typology Baseline - climate adj'!H37*$I$57+'Typology Baseline - climate adj'!I37)</f>
        <v>20.349</v>
      </c>
      <c r="H37" s="531">
        <f>IF(D37,C13,SUM('Typology Baseline - climate adj'!C37*$K$57*$K$58*G13,'Typology Baseline - climate adj'!$D37*H13,'Typology Baseline - climate adj'!$E37:$F37))</f>
        <v>76.551000000000002</v>
      </c>
      <c r="I37" s="531">
        <f>'Typology Baseline - climate adj'!H37*$I$57/'Typology Baseline - climate adj'!G37*G37</f>
        <v>3.8137349397590357</v>
      </c>
      <c r="J37" s="531">
        <f t="shared" si="31"/>
        <v>16.535265060240963</v>
      </c>
      <c r="K37" s="531">
        <f>IF(G13,'Typology Baseline - climate adj'!C37*$K$57*$K$58*H37/SUM('Typology Baseline - climate adj'!C37*$K$57*$K$58,'Typology Baseline - climate adj'!$D37:$F37),0)</f>
        <v>53.573023754992846</v>
      </c>
      <c r="L37" s="531">
        <f>IF(H13,($H37-$K37)/SUM('Typology Baseline - climate adj'!$D37:$F37)*'Typology Baseline - climate adj'!D37,0)</f>
        <v>20.257933342296095</v>
      </c>
      <c r="M37" s="531">
        <f>IF('Typology Baseline - climate adj'!E37=0,0,($H37-$K37-$L37)/SUM('Typology Baseline - climate adj'!$E37:$F37)*'Typology Baseline - climate adj'!E37)</f>
        <v>2.7200429027110609</v>
      </c>
      <c r="N37" s="618">
        <f>IF('Typology Baseline - climate adj'!F37=0,0,($H37-$K37-$L37)/SUM('Typology Baseline - climate adj'!$E37:$F37)*'Typology Baseline - climate adj'!F37)</f>
        <v>0</v>
      </c>
      <c r="O37" s="612"/>
      <c r="P37" s="526"/>
      <c r="Q37" s="525">
        <f t="shared" si="32"/>
        <v>37.501116628494991</v>
      </c>
      <c r="R37" s="525">
        <f t="shared" si="33"/>
        <v>20.257933342296095</v>
      </c>
      <c r="S37" s="525">
        <f t="shared" si="34"/>
        <v>2.7200429027110609</v>
      </c>
      <c r="T37" s="525">
        <f t="shared" si="35"/>
        <v>0</v>
      </c>
      <c r="U37" s="526"/>
      <c r="V37" s="525">
        <f t="shared" si="36"/>
        <v>60.47909287350214</v>
      </c>
      <c r="W37" s="533">
        <f t="shared" si="37"/>
        <v>14.244299999999999</v>
      </c>
      <c r="X37" s="533">
        <f t="shared" si="38"/>
        <v>74.723392873502135</v>
      </c>
      <c r="Y37" s="526"/>
      <c r="Z37" s="525">
        <f>SUMPRODUCT(Q37:T37,'Electrification of Gas End Uses'!$D$4:$G$4)</f>
        <v>21.944748649662724</v>
      </c>
      <c r="AA37" s="533">
        <f t="shared" si="39"/>
        <v>14.244299999999999</v>
      </c>
      <c r="AB37" s="533">
        <f t="shared" si="40"/>
        <v>36.189048649662723</v>
      </c>
      <c r="AD37" s="525">
        <f t="shared" si="41"/>
        <v>9.8999999999999986</v>
      </c>
      <c r="AE37" s="538">
        <f t="shared" si="42"/>
        <v>20.257933342296095</v>
      </c>
      <c r="AF37" s="538">
        <f t="shared" si="42"/>
        <v>2.7200429027110609</v>
      </c>
      <c r="AG37" s="538">
        <f t="shared" si="26"/>
        <v>0</v>
      </c>
      <c r="AH37" s="538">
        <f t="shared" si="43"/>
        <v>11.574685542168673</v>
      </c>
      <c r="AI37" s="539">
        <f t="shared" si="44"/>
        <v>2.669614457831325</v>
      </c>
      <c r="AJ37" s="525">
        <f>SUMPRODUCT(AD37:AG37,'Electrification of Gas End Uses'!$D$4:$G$4)</f>
        <v>13.11239132854433</v>
      </c>
      <c r="AK37" s="533">
        <f t="shared" si="45"/>
        <v>14.244299999999999</v>
      </c>
      <c r="AL37" s="533">
        <f t="shared" si="46"/>
        <v>27.356691328544329</v>
      </c>
      <c r="AN37" s="534">
        <f>SUMPRODUCT(K37:N37,'Electrification of Gas End Uses'!$D$5:$G$5)</f>
        <v>9.4796987244611994</v>
      </c>
      <c r="AO37" s="521">
        <f>SUMPRODUCT(K37:N37,'Electrification of Gas End Uses'!$D$6:$G$6)</f>
        <v>61.75774923656364</v>
      </c>
      <c r="AP37" s="540">
        <f>(AH$57+IF(AH37&gt;(AH$60),AH37-AH$60,0))*(1+$AH$59)/'Electrification of Gas End Uses'!$D$12</f>
        <v>4.1821942168674688</v>
      </c>
      <c r="AQ37" s="541">
        <f t="shared" si="47"/>
        <v>0</v>
      </c>
    </row>
    <row r="38" spans="1:43" ht="14.25" x14ac:dyDescent="0.2">
      <c r="B38" s="367" t="s">
        <v>444</v>
      </c>
      <c r="C38" s="525">
        <f t="shared" si="27"/>
        <v>69793029</v>
      </c>
      <c r="D38" s="526" t="b">
        <f t="shared" si="28"/>
        <v>1</v>
      </c>
      <c r="E38" s="526" t="str">
        <f t="shared" si="29"/>
        <v>City</v>
      </c>
      <c r="F38" s="617">
        <f t="shared" si="30"/>
        <v>108.25</v>
      </c>
      <c r="G38" s="531">
        <f>IF(D38,D14,'Typology Baseline - climate adj'!H38*$I$57+'Typology Baseline - climate adj'!I38)</f>
        <v>56.29</v>
      </c>
      <c r="H38" s="531">
        <f>IF(D38,C14,SUM('Typology Baseline - climate adj'!C38*$K$57*$K$58*G14,'Typology Baseline - climate adj'!$D38*H14,'Typology Baseline - climate adj'!$E38:$F38))</f>
        <v>51.96</v>
      </c>
      <c r="I38" s="531">
        <f>'Typology Baseline - climate adj'!H38*$I$57/'Typology Baseline - climate adj'!G38*G38</f>
        <v>9.6996234029546322</v>
      </c>
      <c r="J38" s="531">
        <f t="shared" si="31"/>
        <v>46.590376597045363</v>
      </c>
      <c r="K38" s="531">
        <f>IF(G14,'Typology Baseline - climate adj'!C38*$K$57*$K$58*H38/SUM('Typology Baseline - climate adj'!C38*$K$57*$K$58,'Typology Baseline - climate adj'!$D38:$F38),0)</f>
        <v>34.973811751529247</v>
      </c>
      <c r="L38" s="531">
        <f>IF(H14,($H38-$K38)/SUM('Typology Baseline - climate adj'!$D38:$F38)*'Typology Baseline - climate adj'!D38,0)</f>
        <v>14.668995936531729</v>
      </c>
      <c r="M38" s="531">
        <f>IF('Typology Baseline - climate adj'!E38=0,0,($H38-$K38-$L38)/SUM('Typology Baseline - climate adj'!$E38:$F38)*'Typology Baseline - climate adj'!E38)</f>
        <v>2.3171923119390243</v>
      </c>
      <c r="N38" s="618">
        <f>IF('Typology Baseline - climate adj'!F38=0,0,($H38-$K38-$L38)/SUM('Typology Baseline - climate adj'!$E38:$F38)*'Typology Baseline - climate adj'!F38)</f>
        <v>0</v>
      </c>
      <c r="O38" s="612"/>
      <c r="P38" s="526"/>
      <c r="Q38" s="525">
        <f t="shared" si="32"/>
        <v>24.481668226070472</v>
      </c>
      <c r="R38" s="525">
        <f t="shared" si="33"/>
        <v>14.668995936531729</v>
      </c>
      <c r="S38" s="525">
        <f t="shared" si="34"/>
        <v>2.3171923119390243</v>
      </c>
      <c r="T38" s="525">
        <f t="shared" si="35"/>
        <v>0</v>
      </c>
      <c r="U38" s="526"/>
      <c r="V38" s="525">
        <f t="shared" si="36"/>
        <v>41.467856474541222</v>
      </c>
      <c r="W38" s="533">
        <f t="shared" si="37"/>
        <v>39.402999999999999</v>
      </c>
      <c r="X38" s="533">
        <f t="shared" si="38"/>
        <v>80.870856474541227</v>
      </c>
      <c r="Y38" s="526"/>
      <c r="Z38" s="525">
        <f>SUMPRODUCT(Q38:T38,'Electrification of Gas End Uses'!$D$4:$G$4)</f>
        <v>15.246724382221377</v>
      </c>
      <c r="AA38" s="533">
        <f t="shared" si="39"/>
        <v>39.402999999999999</v>
      </c>
      <c r="AB38" s="533">
        <f t="shared" si="40"/>
        <v>54.649724382221379</v>
      </c>
      <c r="AD38" s="525">
        <f t="shared" si="41"/>
        <v>9.8999999999999986</v>
      </c>
      <c r="AE38" s="538">
        <f t="shared" si="42"/>
        <v>14.668995936531729</v>
      </c>
      <c r="AF38" s="538">
        <f t="shared" si="42"/>
        <v>2.3171923119390243</v>
      </c>
      <c r="AG38" s="538">
        <f t="shared" si="26"/>
        <v>0</v>
      </c>
      <c r="AH38" s="538">
        <f t="shared" si="43"/>
        <v>32.61326361793175</v>
      </c>
      <c r="AI38" s="539">
        <f t="shared" si="44"/>
        <v>6.7897363820682424</v>
      </c>
      <c r="AJ38" s="525">
        <f>SUMPRODUCT(AD38:AG38,'Electrification of Gas End Uses'!$D$4:$G$4)</f>
        <v>10.580590549878828</v>
      </c>
      <c r="AK38" s="533">
        <f t="shared" si="45"/>
        <v>39.402999999999992</v>
      </c>
      <c r="AL38" s="533">
        <f t="shared" si="46"/>
        <v>49.983590549878819</v>
      </c>
      <c r="AN38" s="534">
        <f>SUMPRODUCT(K38:N38,'Electrification of Gas End Uses'!$D$5:$G$5)</f>
        <v>6.7489137653531692</v>
      </c>
      <c r="AO38" s="521">
        <f>SUMPRODUCT(K38:N38,'Electrification of Gas End Uses'!$D$6:$G$6)</f>
        <v>41.040579786781159</v>
      </c>
      <c r="AP38" s="540">
        <f>(AH$57+IF(AH38&gt;(AH$60),AH38-AH$60,0))*(1+$AH$59)/'Electrification of Gas End Uses'!$D$12</f>
        <v>12.5976254471727</v>
      </c>
      <c r="AQ38" s="541">
        <f t="shared" si="47"/>
        <v>0</v>
      </c>
    </row>
    <row r="39" spans="1:43" ht="14.25" x14ac:dyDescent="0.2">
      <c r="B39" s="367" t="str">
        <f>'Typology Baseline - climate adj'!A39</f>
        <v>Education</v>
      </c>
      <c r="C39" s="525">
        <f t="shared" si="27"/>
        <v>319586694</v>
      </c>
      <c r="D39" s="526" t="b">
        <f t="shared" si="28"/>
        <v>1</v>
      </c>
      <c r="E39" s="526" t="str">
        <f t="shared" si="29"/>
        <v>City</v>
      </c>
      <c r="F39" s="617">
        <f t="shared" si="30"/>
        <v>64.599999999999994</v>
      </c>
      <c r="G39" s="531">
        <f>IF(D39,D15,'Typology Baseline - climate adj'!H39*$I$57+'Typology Baseline - climate adj'!I39)</f>
        <v>20.671999999999997</v>
      </c>
      <c r="H39" s="531">
        <f>IF(D39,C15,SUM('Typology Baseline - climate adj'!C39*$K$57*$K$58*G15,'Typology Baseline - climate adj'!$D39*H15,'Typology Baseline - climate adj'!$E39:$F39))</f>
        <v>43.927999999999997</v>
      </c>
      <c r="I39" s="531">
        <f>'Typology Baseline - climate adj'!H39*$I$57/'Typology Baseline - climate adj'!G39*G39</f>
        <v>2.9192177080414674</v>
      </c>
      <c r="J39" s="531">
        <f t="shared" si="31"/>
        <v>17.752782291958528</v>
      </c>
      <c r="K39" s="531">
        <f>IF(G15,'Typology Baseline - climate adj'!C39*$K$57*H39/SUM('Typology Baseline - climate adj'!C39*$K$57,'Typology Baseline - climate adj'!$D39:$F39),0)</f>
        <v>31.193089725874746</v>
      </c>
      <c r="L39" s="531">
        <f>IF(H15,($H39-$K39)/SUM('Typology Baseline - climate adj'!$D39:$F39)*'Typology Baseline - climate adj'!D39,0)</f>
        <v>6.1905813832553305</v>
      </c>
      <c r="M39" s="531">
        <f>IF('Typology Baseline - climate adj'!E39=0,0,($H39-$K39-$L39)/SUM('Typology Baseline - climate adj'!$E39:$F39)*'Typology Baseline - climate adj'!E39)</f>
        <v>1.5918637842656567</v>
      </c>
      <c r="N39" s="618">
        <f>IF('Typology Baseline - climate adj'!F39=0,0,($H39-$K39-$L39)/SUM('Typology Baseline - climate adj'!$E39:$F39)*'Typology Baseline - climate adj'!F39)</f>
        <v>4.9524651066042642</v>
      </c>
      <c r="O39" s="612"/>
      <c r="P39" s="526"/>
      <c r="Q39" s="525">
        <f t="shared" si="32"/>
        <v>21.835162808112322</v>
      </c>
      <c r="R39" s="525">
        <f t="shared" si="33"/>
        <v>6.1905813832553305</v>
      </c>
      <c r="S39" s="525">
        <f t="shared" si="34"/>
        <v>1.5918637842656567</v>
      </c>
      <c r="T39" s="525">
        <f t="shared" si="35"/>
        <v>4.9524651066042642</v>
      </c>
      <c r="U39" s="525"/>
      <c r="V39" s="525">
        <f t="shared" ref="V39:V54" si="48">SUM(Q39:T39)</f>
        <v>34.57007308223757</v>
      </c>
      <c r="W39" s="533">
        <f t="shared" si="37"/>
        <v>14.470399999999996</v>
      </c>
      <c r="X39" s="533">
        <f>W39+V39</f>
        <v>49.040473082237568</v>
      </c>
      <c r="Y39" s="526"/>
      <c r="Z39" s="525">
        <f>SUMPRODUCT(Q39:T39,'Electrification of Gas End Uses'!$D$4:$G$4)</f>
        <v>14.874917854912425</v>
      </c>
      <c r="AA39" s="533">
        <f>W39</f>
        <v>14.470399999999996</v>
      </c>
      <c r="AB39" s="533">
        <f>AA39+Z39</f>
        <v>29.345317854912423</v>
      </c>
      <c r="AD39" s="525">
        <f t="shared" ref="AD39:AD54" si="49">IF($AD$59&lt;Q39,$AD$59,Q39)</f>
        <v>9.8999999999999986</v>
      </c>
      <c r="AE39" s="538">
        <f>R39</f>
        <v>6.1905813832553305</v>
      </c>
      <c r="AF39" s="538">
        <f t="shared" si="42"/>
        <v>1.5918637842656567</v>
      </c>
      <c r="AG39" s="538">
        <f t="shared" si="26"/>
        <v>4.9524651066042642</v>
      </c>
      <c r="AH39" s="538">
        <f t="shared" si="43"/>
        <v>12.426947604370969</v>
      </c>
      <c r="AI39" s="539">
        <f t="shared" si="44"/>
        <v>2.0434523956290271</v>
      </c>
      <c r="AJ39" s="525">
        <f>SUMPRODUCT(AD39:AG39,'Electrification of Gas End Uses'!$D$4:$G$4)</f>
        <v>11.055665756316479</v>
      </c>
      <c r="AK39" s="533">
        <f>SUM(AH39:AI39)</f>
        <v>14.470399999999996</v>
      </c>
      <c r="AL39" s="533">
        <f t="shared" si="46"/>
        <v>25.526065756316477</v>
      </c>
      <c r="AN39" s="534">
        <f>SUMPRODUCT(K39:N39,'Electrification of Gas End Uses'!$D$5:$G$5)</f>
        <v>8.1129190649134824</v>
      </c>
      <c r="AO39" s="521">
        <f>SUMPRODUCT(K39:N39,'Electrification of Gas End Uses'!$D$6:$G$6)</f>
        <v>37.632585030251235</v>
      </c>
      <c r="AP39" s="540">
        <f>(AH$57+IF(AH39&gt;(AH$60),AH39-AH$60,0))*(1+$AH$59)/'Electrification of Gas End Uses'!$D$12</f>
        <v>4.5230990417483872</v>
      </c>
      <c r="AQ39" s="541">
        <f t="shared" si="47"/>
        <v>0</v>
      </c>
    </row>
    <row r="40" spans="1:43" ht="14.25" x14ac:dyDescent="0.2">
      <c r="B40" s="367" t="str">
        <f>'Typology Baseline - climate adj'!A40</f>
        <v>Food sales</v>
      </c>
      <c r="C40" s="525">
        <f t="shared" si="27"/>
        <v>8579843</v>
      </c>
      <c r="D40" s="526" t="b">
        <f t="shared" si="28"/>
        <v>1</v>
      </c>
      <c r="E40" s="526" t="str">
        <f t="shared" si="29"/>
        <v>City</v>
      </c>
      <c r="F40" s="617">
        <f t="shared" si="30"/>
        <v>114.79999999999998</v>
      </c>
      <c r="G40" s="531">
        <f>IF(D40,D16,'Typology Baseline - climate adj'!H40*$I$57+'Typology Baseline - climate adj'!I40)</f>
        <v>114.69999999999999</v>
      </c>
      <c r="H40" s="531">
        <f>IF(D40,C16,SUM('Typology Baseline - climate adj'!C40*$K$57*$K$58*G16,'Typology Baseline - climate adj'!$D40*H16,'Typology Baseline - climate adj'!$E40:$F40))</f>
        <v>0.1</v>
      </c>
      <c r="I40" s="531">
        <f>'Typology Baseline - climate adj'!H40*$I$57/'Typology Baseline - climate adj'!G40*G40</f>
        <v>2.3563164184889689</v>
      </c>
      <c r="J40" s="531">
        <f t="shared" si="31"/>
        <v>112.34368358151102</v>
      </c>
      <c r="K40" s="531">
        <f>IF(G16,'Typology Baseline - climate adj'!C40*$K$57*H40/SUM('Typology Baseline - climate adj'!C40*$K$57,'Typology Baseline - climate adj'!$D40:$F40),0)</f>
        <v>6.0593528413843786E-2</v>
      </c>
      <c r="L40" s="531">
        <f>IF(H16,($H40-$K40)/SUM('Typology Baseline - climate adj'!$D40:$F40)*'Typology Baseline - climate adj'!D40,0)</f>
        <v>4.6609805101905212E-3</v>
      </c>
      <c r="M40" s="531">
        <f>IF('Typology Baseline - climate adj'!E40=0,0,($H40-$K40-$L40)/SUM('Typology Baseline - climate adj'!$E40:$F40)*'Typology Baseline - climate adj'!E40)</f>
        <v>3.4745491075965695E-2</v>
      </c>
      <c r="N40" s="618">
        <f>IF('Typology Baseline - climate adj'!F40=0,0,($H40-$K40-$L40)/SUM('Typology Baseline - climate adj'!$E40:$F40)*'Typology Baseline - climate adj'!F40)</f>
        <v>0</v>
      </c>
      <c r="O40" s="612"/>
      <c r="P40" s="526"/>
      <c r="Q40" s="525">
        <f t="shared" si="32"/>
        <v>4.2415469889690645E-2</v>
      </c>
      <c r="R40" s="525">
        <f t="shared" si="33"/>
        <v>4.6609805101905212E-3</v>
      </c>
      <c r="S40" s="525">
        <f t="shared" si="34"/>
        <v>3.4745491075965695E-2</v>
      </c>
      <c r="T40" s="525">
        <f t="shared" si="35"/>
        <v>0</v>
      </c>
      <c r="U40" s="525"/>
      <c r="V40" s="525">
        <f t="shared" si="48"/>
        <v>8.1821941475846871E-2</v>
      </c>
      <c r="W40" s="533">
        <f t="shared" si="37"/>
        <v>80.289999999999992</v>
      </c>
      <c r="X40" s="533">
        <f t="shared" ref="X40:X54" si="50">W40+V40</f>
        <v>80.371821941475844</v>
      </c>
      <c r="Y40" s="526"/>
      <c r="Z40" s="525">
        <f>SUMPRODUCT(Q40:T40,'Electrification of Gas End Uses'!$D$4:$G$4)</f>
        <v>3.6646729915148293E-2</v>
      </c>
      <c r="AA40" s="533">
        <f t="shared" ref="AA40:AA54" si="51">W40</f>
        <v>80.289999999999992</v>
      </c>
      <c r="AB40" s="533">
        <f t="shared" ref="AB40:AB54" si="52">AA40+Z40</f>
        <v>80.32664672991514</v>
      </c>
      <c r="AD40" s="525">
        <f t="shared" si="49"/>
        <v>4.2415469889690645E-2</v>
      </c>
      <c r="AE40" s="538">
        <f t="shared" ref="AE40:AF54" si="53">R40</f>
        <v>4.6609805101905212E-3</v>
      </c>
      <c r="AF40" s="538">
        <f t="shared" si="42"/>
        <v>3.4745491075965695E-2</v>
      </c>
      <c r="AG40" s="538">
        <f t="shared" si="26"/>
        <v>0</v>
      </c>
      <c r="AH40" s="538">
        <f t="shared" si="43"/>
        <v>78.640578507057711</v>
      </c>
      <c r="AI40" s="539">
        <f t="shared" si="44"/>
        <v>1.6494214929422781</v>
      </c>
      <c r="AJ40" s="525">
        <f>SUMPRODUCT(AD40:AG40,'Electrification of Gas End Uses'!$D$4:$G$4)</f>
        <v>3.6646729915148293E-2</v>
      </c>
      <c r="AK40" s="533">
        <f t="shared" ref="AK40:AK54" si="54">SUM(AH40:AI40)</f>
        <v>80.289999999999992</v>
      </c>
      <c r="AL40" s="533">
        <f t="shared" si="46"/>
        <v>80.32664672991514</v>
      </c>
      <c r="AN40" s="534">
        <f>SUMPRODUCT(K40:N40,'Electrification of Gas End Uses'!$D$5:$G$5)</f>
        <v>3.2834277130651256E-2</v>
      </c>
      <c r="AO40" s="521">
        <f>SUMPRODUCT(K40:N40,'Electrification of Gas End Uses'!$D$6:$G$6)</f>
        <v>8.8540589064468517E-2</v>
      </c>
      <c r="AP40" s="540">
        <f>(AH$57+IF(AH40&gt;(AH$60),AH40-AH$60,0))*(1+$AH$59)/'Electrification of Gas End Uses'!$D$12</f>
        <v>31.00855140282308</v>
      </c>
      <c r="AQ40" s="541">
        <f t="shared" si="47"/>
        <v>0</v>
      </c>
    </row>
    <row r="41" spans="1:43" ht="14.25" x14ac:dyDescent="0.2">
      <c r="B41" s="367" t="str">
        <f>'Typology Baseline - climate adj'!A41</f>
        <v>Food service</v>
      </c>
      <c r="C41" s="525">
        <f t="shared" si="27"/>
        <v>1341013</v>
      </c>
      <c r="D41" s="526" t="b">
        <f t="shared" si="28"/>
        <v>0</v>
      </c>
      <c r="E41" s="526" t="str">
        <f t="shared" si="29"/>
        <v>CBECS</v>
      </c>
      <c r="F41" s="617">
        <f t="shared" si="30"/>
        <v>315.22895262541113</v>
      </c>
      <c r="G41" s="531">
        <f>IF(D41,D17,'Typology Baseline - climate adj'!H41*$I$57+'Typology Baseline - climate adj'!I41)</f>
        <v>82.80963855421686</v>
      </c>
      <c r="H41" s="531">
        <f>IF(D41,C17,SUM('Typology Baseline - climate adj'!C41*$K$57*$K$58*G17,'Typology Baseline - climate adj'!$D41*H17,'Typology Baseline - climate adj'!$E41:$F41))</f>
        <v>232.41931407119426</v>
      </c>
      <c r="I41" s="531">
        <f>'Typology Baseline - climate adj'!H41*$I$57/'Typology Baseline - climate adj'!G41*G41</f>
        <v>9.5356018379949052</v>
      </c>
      <c r="J41" s="531">
        <f t="shared" si="31"/>
        <v>73.274036716221957</v>
      </c>
      <c r="K41" s="531">
        <f>IF(G17,'Typology Baseline - climate adj'!C41*$K$57*H41/SUM('Typology Baseline - climate adj'!C41*$K$57,'Typology Baseline - climate adj'!$D41:$F41),0)</f>
        <v>51.018434228505257</v>
      </c>
      <c r="L41" s="531">
        <f>IF(H17,($H41-$K41)/SUM('Typology Baseline - climate adj'!$D41:$F41)*'Typology Baseline - climate adj'!D41,0)</f>
        <v>44.526703129827233</v>
      </c>
      <c r="M41" s="531">
        <f>IF('Typology Baseline - climate adj'!E41=0,0,($H41-$K41-$L41)/SUM('Typology Baseline - climate adj'!$E41:$F41)*'Typology Baseline - climate adj'!E41)</f>
        <v>136.87417671286175</v>
      </c>
      <c r="N41" s="618">
        <f>IF('Typology Baseline - climate adj'!F41=0,0,($H41-$K41-$L41)/SUM('Typology Baseline - climate adj'!$E41:$F41)*'Typology Baseline - climate adj'!F41)</f>
        <v>0</v>
      </c>
      <c r="O41" s="612"/>
      <c r="P41" s="526"/>
      <c r="Q41" s="525">
        <f t="shared" si="32"/>
        <v>35.712903959953678</v>
      </c>
      <c r="R41" s="525">
        <f t="shared" si="33"/>
        <v>44.526703129827233</v>
      </c>
      <c r="S41" s="525">
        <f t="shared" si="34"/>
        <v>136.87417671286175</v>
      </c>
      <c r="T41" s="525">
        <f t="shared" si="35"/>
        <v>0</v>
      </c>
      <c r="U41" s="525"/>
      <c r="V41" s="525">
        <f t="shared" si="48"/>
        <v>217.11378380264267</v>
      </c>
      <c r="W41" s="533">
        <f t="shared" si="37"/>
        <v>57.966746987951801</v>
      </c>
      <c r="X41" s="533">
        <f t="shared" si="50"/>
        <v>275.08053079059448</v>
      </c>
      <c r="Y41" s="526"/>
      <c r="Z41" s="525">
        <f>SUMPRODUCT(Q41:T41,'Electrification of Gas End Uses'!$D$4:$G$4)</f>
        <v>113.02758997519381</v>
      </c>
      <c r="AA41" s="533">
        <f t="shared" si="51"/>
        <v>57.966746987951801</v>
      </c>
      <c r="AB41" s="533">
        <f t="shared" si="52"/>
        <v>170.9943369631456</v>
      </c>
      <c r="AD41" s="525">
        <f t="shared" si="49"/>
        <v>9.8999999999999986</v>
      </c>
      <c r="AE41" s="538">
        <f t="shared" si="53"/>
        <v>44.526703129827233</v>
      </c>
      <c r="AF41" s="538">
        <f t="shared" si="42"/>
        <v>136.87417671286175</v>
      </c>
      <c r="AG41" s="538">
        <f t="shared" si="26"/>
        <v>0</v>
      </c>
      <c r="AH41" s="538">
        <f t="shared" si="43"/>
        <v>51.291825701355364</v>
      </c>
      <c r="AI41" s="539">
        <f t="shared" si="44"/>
        <v>6.6749212865964331</v>
      </c>
      <c r="AJ41" s="525">
        <f>SUMPRODUCT(AD41:AG41,'Electrification of Gas End Uses'!$D$4:$G$4)</f>
        <v>104.76746070800863</v>
      </c>
      <c r="AK41" s="533">
        <f t="shared" si="54"/>
        <v>57.966746987951794</v>
      </c>
      <c r="AL41" s="533">
        <f t="shared" si="46"/>
        <v>162.73420769596044</v>
      </c>
      <c r="AN41" s="534">
        <f>SUMPRODUCT(K41:N41,'Electrification of Gas End Uses'!$D$5:$G$5)</f>
        <v>113.43910787324208</v>
      </c>
      <c r="AO41" s="521">
        <f>SUMPRODUCT(K41:N41,'Electrification of Gas End Uses'!$D$6:$G$6)</f>
        <v>161.6712130562056</v>
      </c>
      <c r="AP41" s="540">
        <f>(AH$57+IF(AH41&gt;(AH$60),AH41-AH$60,0))*(1+$AH$59)/'Electrification of Gas End Uses'!$D$12</f>
        <v>20.069050280542147</v>
      </c>
      <c r="AQ41" s="541">
        <f t="shared" si="47"/>
        <v>0</v>
      </c>
    </row>
    <row r="42" spans="1:43" ht="14.25" x14ac:dyDescent="0.2">
      <c r="B42" s="367" t="str">
        <f>'Typology Baseline - climate adj'!A42</f>
        <v>Health care Inpatient</v>
      </c>
      <c r="C42" s="525">
        <f t="shared" si="27"/>
        <v>73584591</v>
      </c>
      <c r="D42" s="526" t="b">
        <f t="shared" si="28"/>
        <v>1</v>
      </c>
      <c r="E42" s="526" t="str">
        <f t="shared" si="29"/>
        <v>City</v>
      </c>
      <c r="F42" s="617">
        <f t="shared" si="30"/>
        <v>179.9</v>
      </c>
      <c r="G42" s="531">
        <f>IF(D42,D18,'Typology Baseline - climate adj'!H42*$I$57+'Typology Baseline - climate adj'!I42)</f>
        <v>66.563000000000002</v>
      </c>
      <c r="H42" s="531">
        <f>IF(D42,C18,SUM('Typology Baseline - climate adj'!C42*$K$57*$K$58*G18,'Typology Baseline - climate adj'!$D42*H18,'Typology Baseline - climate adj'!$E42:$F42))</f>
        <v>113.337</v>
      </c>
      <c r="I42" s="531">
        <f>'Typology Baseline - climate adj'!H42*$I$57/'Typology Baseline - climate adj'!G42*G42</f>
        <v>10.365362225881945</v>
      </c>
      <c r="J42" s="531">
        <f t="shared" si="31"/>
        <v>56.197637774118057</v>
      </c>
      <c r="K42" s="531">
        <f>IF(G18,'Typology Baseline - climate adj'!C42*$K$57*H42/SUM('Typology Baseline - climate adj'!C42*$K$57,'Typology Baseline - climate adj'!$D42:$F42),0)</f>
        <v>63.876067112926336</v>
      </c>
      <c r="L42" s="531">
        <f>IF(H18,($H42-$K42)/SUM('Typology Baseline - climate adj'!$D42:$F42)*'Typology Baseline - climate adj'!D42,0)</f>
        <v>22.3519103824325</v>
      </c>
      <c r="M42" s="531">
        <f>IF('Typology Baseline - climate adj'!E42=0,0,($H42-$K42-$L42)/SUM('Typology Baseline - climate adj'!$E42:$F42)*'Typology Baseline - climate adj'!E42)</f>
        <v>10.817542634063543</v>
      </c>
      <c r="N42" s="618">
        <f>IF('Typology Baseline - climate adj'!F42=0,0,($H42-$K42-$L42)/SUM('Typology Baseline - climate adj'!$E42:$F42)*'Typology Baseline - climate adj'!F42)</f>
        <v>16.291479870577625</v>
      </c>
      <c r="O42" s="612"/>
      <c r="P42" s="526"/>
      <c r="Q42" s="525">
        <f t="shared" si="32"/>
        <v>44.713246979048435</v>
      </c>
      <c r="R42" s="525">
        <f t="shared" si="33"/>
        <v>22.3519103824325</v>
      </c>
      <c r="S42" s="525">
        <f t="shared" si="34"/>
        <v>10.817542634063543</v>
      </c>
      <c r="T42" s="525">
        <f t="shared" si="35"/>
        <v>16.291479870577625</v>
      </c>
      <c r="U42" s="525"/>
      <c r="V42" s="525">
        <f t="shared" si="48"/>
        <v>94.174179866122103</v>
      </c>
      <c r="W42" s="533">
        <f t="shared" si="37"/>
        <v>46.594099999999997</v>
      </c>
      <c r="X42" s="533">
        <f t="shared" si="50"/>
        <v>140.7682798661221</v>
      </c>
      <c r="Y42" s="526"/>
      <c r="Z42" s="525">
        <f>SUMPRODUCT(Q42:T42,'Electrification of Gas End Uses'!$D$4:$G$4)</f>
        <v>44.468311776956142</v>
      </c>
      <c r="AA42" s="533">
        <f t="shared" si="51"/>
        <v>46.594099999999997</v>
      </c>
      <c r="AB42" s="533">
        <f t="shared" si="52"/>
        <v>91.062411776956139</v>
      </c>
      <c r="AD42" s="525">
        <f t="shared" si="49"/>
        <v>9.8999999999999986</v>
      </c>
      <c r="AE42" s="538">
        <f t="shared" si="53"/>
        <v>22.3519103824325</v>
      </c>
      <c r="AF42" s="538">
        <f t="shared" si="42"/>
        <v>10.817542634063543</v>
      </c>
      <c r="AG42" s="538">
        <f t="shared" si="26"/>
        <v>16.291479870577625</v>
      </c>
      <c r="AH42" s="538">
        <f t="shared" si="43"/>
        <v>39.338346441882635</v>
      </c>
      <c r="AI42" s="539">
        <f t="shared" si="44"/>
        <v>7.2557535581173616</v>
      </c>
      <c r="AJ42" s="525">
        <f>SUMPRODUCT(AD42:AG42,'Electrification of Gas End Uses'!$D$4:$G$4)</f>
        <v>33.328072743660648</v>
      </c>
      <c r="AK42" s="533">
        <f t="shared" si="54"/>
        <v>46.594099999999997</v>
      </c>
      <c r="AL42" s="533">
        <f t="shared" si="46"/>
        <v>79.922172743660639</v>
      </c>
      <c r="AN42" s="534">
        <f>SUMPRODUCT(K42:N42,'Electrification of Gas End Uses'!$D$5:$G$5)</f>
        <v>27.281550615545939</v>
      </c>
      <c r="AO42" s="521">
        <f>SUMPRODUCT(K42:N42,'Electrification of Gas End Uses'!$D$6:$G$6)</f>
        <v>88.423305381913352</v>
      </c>
      <c r="AP42" s="540">
        <f>(AH$57+IF(AH42&gt;(AH$60),AH42-AH$60,0))*(1+$AH$59)/'Electrification of Gas End Uses'!$D$12</f>
        <v>15.287658576753055</v>
      </c>
      <c r="AQ42" s="541">
        <f t="shared" si="47"/>
        <v>0</v>
      </c>
    </row>
    <row r="43" spans="1:43" ht="14.25" x14ac:dyDescent="0.2">
      <c r="B43" s="367" t="str">
        <f>'Typology Baseline - climate adj'!A43</f>
        <v>Health care Outpatient</v>
      </c>
      <c r="C43" s="525">
        <f t="shared" si="27"/>
        <v>16489737</v>
      </c>
      <c r="D43" s="526" t="b">
        <f t="shared" si="28"/>
        <v>1</v>
      </c>
      <c r="E43" s="526" t="str">
        <f t="shared" si="29"/>
        <v>City</v>
      </c>
      <c r="F43" s="617">
        <f t="shared" si="30"/>
        <v>91.3</v>
      </c>
      <c r="G43" s="531">
        <f>IF(D43,D19,'Typology Baseline - climate adj'!H43*$I$57+'Typology Baseline - climate adj'!I43)</f>
        <v>55.692999999999998</v>
      </c>
      <c r="H43" s="531">
        <f>IF(D43,C19,SUM('Typology Baseline - climate adj'!C43*$K$57*$K$58*G19,'Typology Baseline - climate adj'!$D43*H19,'Typology Baseline - climate adj'!$E43:$F43))</f>
        <v>35.606999999999999</v>
      </c>
      <c r="I43" s="531">
        <f>'Typology Baseline - climate adj'!H43*$I$57/'Typology Baseline - climate adj'!G43*G43</f>
        <v>3.4760741989881958</v>
      </c>
      <c r="J43" s="531">
        <f t="shared" si="31"/>
        <v>52.216925801011804</v>
      </c>
      <c r="K43" s="531">
        <f>IF(G19,'Typology Baseline - climate adj'!C43*$K$57*H43/SUM('Typology Baseline - climate adj'!C43*$K$57,'Typology Baseline - climate adj'!$D43:$F43),0)</f>
        <v>33.107246547589789</v>
      </c>
      <c r="L43" s="531">
        <f>IF(H19,($H43-$K43)/SUM('Typology Baseline - climate adj'!$D43:$F43)*'Typology Baseline - climate adj'!D43,0)</f>
        <v>2.4997534524102107</v>
      </c>
      <c r="M43" s="531">
        <f>IF('Typology Baseline - climate adj'!E43=0,0,($H43-$K43-$L43)/SUM('Typology Baseline - climate adj'!$E43:$F43)*'Typology Baseline - climate adj'!E43)</f>
        <v>0</v>
      </c>
      <c r="N43" s="618">
        <f>IF('Typology Baseline - climate adj'!F43=0,0,($H43-$K43-$L43)/SUM('Typology Baseline - climate adj'!$E43:$F43)*'Typology Baseline - climate adj'!F43)</f>
        <v>0</v>
      </c>
      <c r="O43" s="612"/>
      <c r="P43" s="526"/>
      <c r="Q43" s="525">
        <f t="shared" si="32"/>
        <v>23.175072583312851</v>
      </c>
      <c r="R43" s="525">
        <f t="shared" si="33"/>
        <v>2.4997534524102107</v>
      </c>
      <c r="S43" s="525">
        <f t="shared" si="34"/>
        <v>0</v>
      </c>
      <c r="T43" s="525">
        <f t="shared" si="35"/>
        <v>0</v>
      </c>
      <c r="U43" s="525"/>
      <c r="V43" s="525">
        <f t="shared" si="48"/>
        <v>25.674826035723061</v>
      </c>
      <c r="W43" s="533">
        <f t="shared" si="37"/>
        <v>38.985099999999996</v>
      </c>
      <c r="X43" s="533">
        <f t="shared" si="50"/>
        <v>64.659926035723061</v>
      </c>
      <c r="Y43" s="526"/>
      <c r="Z43" s="525">
        <f>SUMPRODUCT(Q43:T43,'Electrification of Gas End Uses'!$D$4:$G$4)</f>
        <v>8.4386496390097427</v>
      </c>
      <c r="AA43" s="533">
        <f t="shared" si="51"/>
        <v>38.985099999999996</v>
      </c>
      <c r="AB43" s="533">
        <f t="shared" si="52"/>
        <v>47.423749639009742</v>
      </c>
      <c r="AD43" s="525">
        <f t="shared" si="49"/>
        <v>9.8999999999999986</v>
      </c>
      <c r="AE43" s="538">
        <f t="shared" si="53"/>
        <v>2.4997534524102107</v>
      </c>
      <c r="AF43" s="538">
        <f t="shared" si="42"/>
        <v>0</v>
      </c>
      <c r="AG43" s="538">
        <f t="shared" si="26"/>
        <v>0</v>
      </c>
      <c r="AH43" s="538">
        <f t="shared" si="43"/>
        <v>36.551848060708259</v>
      </c>
      <c r="AI43" s="539">
        <f t="shared" si="44"/>
        <v>2.4332519392917371</v>
      </c>
      <c r="AJ43" s="525">
        <f>SUMPRODUCT(AD43:AG43,'Electrification of Gas End Uses'!$D$4:$G$4)</f>
        <v>4.1906264123496317</v>
      </c>
      <c r="AK43" s="533">
        <f t="shared" si="54"/>
        <v>38.985099999999996</v>
      </c>
      <c r="AL43" s="533">
        <f t="shared" si="46"/>
        <v>43.175726412349626</v>
      </c>
      <c r="AN43" s="534">
        <f>SUMPRODUCT(K43:N43,'Electrification of Gas End Uses'!$D$5:$G$5)</f>
        <v>3.5443043569319337</v>
      </c>
      <c r="AO43" s="521">
        <f>SUMPRODUCT(K43:N43,'Electrification of Gas End Uses'!$D$6:$G$6)</f>
        <v>34.645403970249106</v>
      </c>
      <c r="AP43" s="540">
        <f>(AH$57+IF(AH43&gt;(AH$60),AH43-AH$60,0))*(1+$AH$59)/'Electrification of Gas End Uses'!$D$12</f>
        <v>14.173059224283303</v>
      </c>
      <c r="AQ43" s="541">
        <f t="shared" si="47"/>
        <v>0</v>
      </c>
    </row>
    <row r="44" spans="1:43" ht="14.25" x14ac:dyDescent="0.2">
      <c r="B44" s="367" t="str">
        <f>'Typology Baseline - climate adj'!A44</f>
        <v>Lodging</v>
      </c>
      <c r="C44" s="525">
        <f t="shared" si="27"/>
        <v>189801323</v>
      </c>
      <c r="D44" s="526" t="b">
        <f t="shared" si="28"/>
        <v>1</v>
      </c>
      <c r="E44" s="526" t="str">
        <f t="shared" si="29"/>
        <v>City</v>
      </c>
      <c r="F44" s="617">
        <f t="shared" si="30"/>
        <v>121.7</v>
      </c>
      <c r="G44" s="531">
        <f>IF(D44,D20,'Typology Baseline - climate adj'!H44*$I$57+'Typology Baseline - climate adj'!I44)</f>
        <v>60.85</v>
      </c>
      <c r="H44" s="531">
        <f>IF(D44,C20,SUM('Typology Baseline - climate adj'!C44*$K$57*$K$58*G20,'Typology Baseline - climate adj'!$D44*H20,'Typology Baseline - climate adj'!$E44:$F44))</f>
        <v>60.85</v>
      </c>
      <c r="I44" s="531">
        <f>'Typology Baseline - climate adj'!H44*$I$57/'Typology Baseline - climate adj'!G44*G44</f>
        <v>5.9465194109772419</v>
      </c>
      <c r="J44" s="531">
        <f t="shared" si="31"/>
        <v>54.903480589022763</v>
      </c>
      <c r="K44" s="531">
        <f>IF(G20,'Typology Baseline - climate adj'!C44*$K$57*H44/SUM('Typology Baseline - climate adj'!C44*$K$57,'Typology Baseline - climate adj'!$D44:$F44),0)</f>
        <v>22.305636567780748</v>
      </c>
      <c r="L44" s="531">
        <f>IF(H20,($H44-$K44)/SUM('Typology Baseline - climate adj'!$D44:$F44)*'Typology Baseline - climate adj'!D44,0)</f>
        <v>30.858780391353786</v>
      </c>
      <c r="M44" s="531">
        <f>IF('Typology Baseline - climate adj'!E44=0,0,($H44-$K44-$L44)/SUM('Typology Baseline - climate adj'!$E44:$F44)*'Typology Baseline - climate adj'!E44)</f>
        <v>0</v>
      </c>
      <c r="N44" s="618">
        <f>IF('Typology Baseline - climate adj'!F44=0,0,($H44-$K44-$L44)/SUM('Typology Baseline - climate adj'!$E44:$F44)*'Typology Baseline - climate adj'!F44)</f>
        <v>7.6855830408654704</v>
      </c>
      <c r="O44" s="612"/>
      <c r="P44" s="526"/>
      <c r="Q44" s="525">
        <f t="shared" si="32"/>
        <v>15.613945597446524</v>
      </c>
      <c r="R44" s="525">
        <f t="shared" si="33"/>
        <v>30.858780391353786</v>
      </c>
      <c r="S44" s="525">
        <f t="shared" si="34"/>
        <v>0</v>
      </c>
      <c r="T44" s="525">
        <f t="shared" si="35"/>
        <v>7.6855830408654704</v>
      </c>
      <c r="U44" s="525"/>
      <c r="V44" s="525">
        <f t="shared" si="48"/>
        <v>54.158309029665773</v>
      </c>
      <c r="W44" s="533">
        <f t="shared" si="37"/>
        <v>42.594999999999999</v>
      </c>
      <c r="X44" s="533">
        <f t="shared" si="50"/>
        <v>96.753309029665772</v>
      </c>
      <c r="Y44" s="526"/>
      <c r="Z44" s="525">
        <f>SUMPRODUCT(Q44:T44,'Electrification of Gas End Uses'!$D$4:$G$4)</f>
        <v>24.426063563318486</v>
      </c>
      <c r="AA44" s="533">
        <f t="shared" si="51"/>
        <v>42.594999999999999</v>
      </c>
      <c r="AB44" s="533">
        <f t="shared" si="52"/>
        <v>67.021063563318478</v>
      </c>
      <c r="AD44" s="525">
        <f t="shared" si="49"/>
        <v>9.8999999999999986</v>
      </c>
      <c r="AE44" s="538">
        <f t="shared" si="53"/>
        <v>30.858780391353786</v>
      </c>
      <c r="AF44" s="538">
        <f t="shared" si="42"/>
        <v>0</v>
      </c>
      <c r="AG44" s="538">
        <f t="shared" si="26"/>
        <v>7.6855830408654704</v>
      </c>
      <c r="AH44" s="538">
        <f t="shared" si="43"/>
        <v>38.43243641231593</v>
      </c>
      <c r="AI44" s="539">
        <f t="shared" si="44"/>
        <v>4.162563587684069</v>
      </c>
      <c r="AJ44" s="525">
        <f>SUMPRODUCT(AD44:AG44,'Electrification of Gas End Uses'!$D$4:$G$4)</f>
        <v>22.597600972135595</v>
      </c>
      <c r="AK44" s="533">
        <f t="shared" si="54"/>
        <v>42.594999999999999</v>
      </c>
      <c r="AL44" s="533">
        <f t="shared" si="46"/>
        <v>65.192600972135594</v>
      </c>
      <c r="AN44" s="534">
        <f>SUMPRODUCT(K44:N44,'Electrification of Gas End Uses'!$D$5:$G$5)</f>
        <v>10.333168554337755</v>
      </c>
      <c r="AO44" s="521">
        <f>SUMPRODUCT(K44:N44,'Electrification of Gas End Uses'!$D$6:$G$6)</f>
        <v>34.643196990343931</v>
      </c>
      <c r="AP44" s="540">
        <f>(AH$57+IF(AH44&gt;(AH$60),AH44-AH$60,0))*(1+$AH$59)/'Electrification of Gas End Uses'!$D$12</f>
        <v>14.925294564926372</v>
      </c>
      <c r="AQ44" s="541">
        <f t="shared" si="47"/>
        <v>0</v>
      </c>
    </row>
    <row r="45" spans="1:43" ht="14.25" x14ac:dyDescent="0.2">
      <c r="B45" s="367" t="str">
        <f>'Typology Baseline - climate adj'!A45</f>
        <v>Mercantile Enclosed and strip malls</v>
      </c>
      <c r="C45" s="525">
        <f t="shared" si="27"/>
        <v>12966991</v>
      </c>
      <c r="D45" s="526" t="b">
        <f t="shared" si="28"/>
        <v>1</v>
      </c>
      <c r="E45" s="526" t="str">
        <f t="shared" si="29"/>
        <v>City</v>
      </c>
      <c r="F45" s="617">
        <f t="shared" si="30"/>
        <v>91.7</v>
      </c>
      <c r="G45" s="531">
        <f>IF(D45,D21,'Typology Baseline - climate adj'!H45*$I$57+'Typology Baseline - climate adj'!I45)</f>
        <v>82.53</v>
      </c>
      <c r="H45" s="531">
        <f>IF(D45,C21,SUM('Typology Baseline - climate adj'!C45*$K$57*$K$58*G21,'Typology Baseline - climate adj'!$D45*H21,'Typology Baseline - climate adj'!$E45:$F45))</f>
        <v>9.1700000000000017</v>
      </c>
      <c r="I45" s="531">
        <f>'Typology Baseline - climate adj'!H46*$I$57/'Typology Baseline - climate adj'!G46*G45</f>
        <v>7.4945096086826641</v>
      </c>
      <c r="J45" s="531">
        <f t="shared" si="31"/>
        <v>75.035490391317339</v>
      </c>
      <c r="K45" s="531">
        <f>IF(G21,'Typology Baseline - climate adj'!C45*$K$57*H45/SUM('Typology Baseline - climate adj'!C45*$K$57,'Typology Baseline - climate adj'!$D45:$F45),0)</f>
        <v>4.0813675588708502</v>
      </c>
      <c r="L45" s="531">
        <f>IF(H21,($H45-$K45)/SUM('Typology Baseline - climate adj'!$D45:$F45)*'Typology Baseline - climate adj'!D45,0)</f>
        <v>1.9711460829648637</v>
      </c>
      <c r="M45" s="531">
        <f>IF('Typology Baseline - climate adj'!E45=0,0,($H45-$K45-$L45)/SUM('Typology Baseline - climate adj'!$E45:$F45)*'Typology Baseline - climate adj'!E45)</f>
        <v>2.1528829558623337</v>
      </c>
      <c r="N45" s="618">
        <f>IF('Typology Baseline - climate adj'!F45=0,0,($H45-$K45-$L45)/SUM('Typology Baseline - climate adj'!$E45:$F45)*'Typology Baseline - climate adj'!F45)</f>
        <v>0.96460340230195463</v>
      </c>
      <c r="O45" s="612"/>
      <c r="P45" s="526"/>
      <c r="Q45" s="525">
        <f t="shared" si="32"/>
        <v>2.8569572912095951</v>
      </c>
      <c r="R45" s="525">
        <f t="shared" si="33"/>
        <v>1.9711460829648637</v>
      </c>
      <c r="S45" s="525">
        <f t="shared" si="34"/>
        <v>2.1528829558623337</v>
      </c>
      <c r="T45" s="525">
        <f t="shared" si="35"/>
        <v>0.96460340230195463</v>
      </c>
      <c r="U45" s="525"/>
      <c r="V45" s="525">
        <f t="shared" si="48"/>
        <v>7.945589732338747</v>
      </c>
      <c r="W45" s="533">
        <f t="shared" si="37"/>
        <v>57.770999999999994</v>
      </c>
      <c r="X45" s="533">
        <f t="shared" si="50"/>
        <v>65.716589732338747</v>
      </c>
      <c r="Y45" s="526"/>
      <c r="Z45" s="525">
        <f>SUMPRODUCT(Q45:T45,'Electrification of Gas End Uses'!$D$4:$G$4)</f>
        <v>3.8862970228366098</v>
      </c>
      <c r="AA45" s="533">
        <f t="shared" si="51"/>
        <v>57.770999999999994</v>
      </c>
      <c r="AB45" s="533">
        <f t="shared" si="52"/>
        <v>61.657297022836602</v>
      </c>
      <c r="AD45" s="525">
        <f t="shared" si="49"/>
        <v>2.8569572912095951</v>
      </c>
      <c r="AE45" s="538">
        <f t="shared" si="53"/>
        <v>1.9711460829648637</v>
      </c>
      <c r="AF45" s="538">
        <f t="shared" si="42"/>
        <v>2.1528829558623337</v>
      </c>
      <c r="AG45" s="538">
        <f t="shared" si="26"/>
        <v>0.96460340230195463</v>
      </c>
      <c r="AH45" s="538">
        <f t="shared" si="43"/>
        <v>52.524843273922137</v>
      </c>
      <c r="AI45" s="539">
        <f t="shared" si="44"/>
        <v>5.2461567260778645</v>
      </c>
      <c r="AJ45" s="525">
        <f>SUMPRODUCT(AD45:AG45,'Electrification of Gas End Uses'!$D$4:$G$4)</f>
        <v>3.8862970228366098</v>
      </c>
      <c r="AK45" s="533">
        <f t="shared" si="54"/>
        <v>57.771000000000001</v>
      </c>
      <c r="AL45" s="533">
        <f t="shared" si="46"/>
        <v>61.657297022836609</v>
      </c>
      <c r="AN45" s="534">
        <f>SUMPRODUCT(K45:N45,'Electrification of Gas End Uses'!$D$5:$G$5)</f>
        <v>2.8586822951994288</v>
      </c>
      <c r="AO45" s="521">
        <f>SUMPRODUCT(K45:N45,'Electrification of Gas End Uses'!$D$6:$G$6)</f>
        <v>6.7855717922278949</v>
      </c>
      <c r="AP45" s="540">
        <f>(AH$57+IF(AH45&gt;(AH$60),AH45-AH$60,0))*(1+$AH$59)/'Electrification of Gas End Uses'!$D$12</f>
        <v>20.562257309568857</v>
      </c>
      <c r="AQ45" s="541">
        <f t="shared" si="47"/>
        <v>0</v>
      </c>
    </row>
    <row r="46" spans="1:43" ht="14.25" x14ac:dyDescent="0.2">
      <c r="B46" s="367" t="str">
        <f>'Typology Baseline - climate adj'!A46</f>
        <v>Mercantile Retail (other than mall)</v>
      </c>
      <c r="C46" s="525">
        <f t="shared" si="27"/>
        <v>30810118</v>
      </c>
      <c r="D46" s="526" t="b">
        <f t="shared" si="28"/>
        <v>1</v>
      </c>
      <c r="E46" s="526" t="str">
        <f t="shared" si="29"/>
        <v>City</v>
      </c>
      <c r="F46" s="617">
        <f t="shared" si="30"/>
        <v>94.45</v>
      </c>
      <c r="G46" s="531">
        <f>IF(D46,D22,'Typology Baseline - climate adj'!H46*$I$57+'Typology Baseline - climate adj'!I46)</f>
        <v>71.309750000000008</v>
      </c>
      <c r="H46" s="531">
        <f>IF(D46,C22,SUM('Typology Baseline - climate adj'!C46*$K$57*$K$58*G22,'Typology Baseline - climate adj'!$D46*H22,'Typology Baseline - climate adj'!$E46:$F46))</f>
        <v>23.140249999999995</v>
      </c>
      <c r="I46" s="531">
        <f>'Typology Baseline - climate adj'!H45*$I$57/'Typology Baseline - climate adj'!G45*G46</f>
        <v>5.3447199815462145</v>
      </c>
      <c r="J46" s="531">
        <f t="shared" si="31"/>
        <v>65.965030018453788</v>
      </c>
      <c r="K46" s="531">
        <f>IF(G22,'Typology Baseline - climate adj'!C46*$K$57*H46/SUM('Typology Baseline - climate adj'!C46*$K$57,'Typology Baseline - climate adj'!$D46:$F46),0)</f>
        <v>17.612268058076221</v>
      </c>
      <c r="L46" s="531">
        <f>IF(H22,($H46-$K46)/SUM('Typology Baseline - climate adj'!$D46:$F46)*'Typology Baseline - climate adj'!D46,0)</f>
        <v>1.6258770417422863</v>
      </c>
      <c r="M46" s="531">
        <f>IF('Typology Baseline - climate adj'!E46=0,0,($H46-$K46-$L46)/SUM('Typology Baseline - climate adj'!$E46:$F46)*'Typology Baseline - climate adj'!E46)</f>
        <v>3.9021049001814871</v>
      </c>
      <c r="N46" s="618">
        <f>IF('Typology Baseline - climate adj'!F46=0,0,($H46-$K46-$L46)/SUM('Typology Baseline - climate adj'!$E46:$F46)*'Typology Baseline - climate adj'!F46)</f>
        <v>0</v>
      </c>
      <c r="O46" s="612"/>
      <c r="P46" s="526"/>
      <c r="Q46" s="525">
        <f t="shared" si="32"/>
        <v>12.328587640653355</v>
      </c>
      <c r="R46" s="525">
        <f t="shared" si="33"/>
        <v>1.6258770417422863</v>
      </c>
      <c r="S46" s="525">
        <f t="shared" si="34"/>
        <v>3.9021049001814871</v>
      </c>
      <c r="T46" s="525">
        <f t="shared" si="35"/>
        <v>0</v>
      </c>
      <c r="U46" s="525"/>
      <c r="V46" s="525">
        <f t="shared" si="48"/>
        <v>17.85656958257713</v>
      </c>
      <c r="W46" s="533">
        <f t="shared" si="37"/>
        <v>49.916825000000003</v>
      </c>
      <c r="X46" s="533">
        <f t="shared" si="50"/>
        <v>67.77339458257714</v>
      </c>
      <c r="Y46" s="526"/>
      <c r="Z46" s="525">
        <f>SUMPRODUCT(Q46:T46,'Electrification of Gas End Uses'!$D$4:$G$4)</f>
        <v>6.9874487889698624</v>
      </c>
      <c r="AA46" s="533">
        <f t="shared" si="51"/>
        <v>49.916825000000003</v>
      </c>
      <c r="AB46" s="533">
        <f t="shared" si="52"/>
        <v>56.904273788969867</v>
      </c>
      <c r="AD46" s="525">
        <f t="shared" si="49"/>
        <v>9.8999999999999986</v>
      </c>
      <c r="AE46" s="538">
        <f t="shared" si="53"/>
        <v>1.6258770417422863</v>
      </c>
      <c r="AF46" s="538">
        <f t="shared" si="42"/>
        <v>3.9021049001814871</v>
      </c>
      <c r="AG46" s="538">
        <f t="shared" si="26"/>
        <v>0</v>
      </c>
      <c r="AH46" s="538">
        <f t="shared" si="43"/>
        <v>46.175521012917649</v>
      </c>
      <c r="AI46" s="539">
        <f t="shared" si="44"/>
        <v>3.7413039870823499</v>
      </c>
      <c r="AJ46" s="525">
        <f>SUMPRODUCT(AD46:AG46,'Electrification of Gas End Uses'!$D$4:$G$4)</f>
        <v>6.2103007439607882</v>
      </c>
      <c r="AK46" s="533">
        <f t="shared" si="54"/>
        <v>49.916824999999996</v>
      </c>
      <c r="AL46" s="533">
        <f t="shared" si="46"/>
        <v>56.127125743960782</v>
      </c>
      <c r="AN46" s="534">
        <f>SUMPRODUCT(K46:N46,'Electrification of Gas End Uses'!$D$5:$G$5)</f>
        <v>4.874166351319932</v>
      </c>
      <c r="AO46" s="521">
        <f>SUMPRODUCT(K46:N46,'Electrification of Gas End Uses'!$D$6:$G$6)</f>
        <v>21.318870171910302</v>
      </c>
      <c r="AP46" s="540">
        <f>(AH$57+IF(AH46&gt;(AH$60),AH46-AH$60,0))*(1+$AH$59)/'Electrification of Gas End Uses'!$D$12</f>
        <v>18.022528405167058</v>
      </c>
      <c r="AQ46" s="541">
        <f t="shared" si="47"/>
        <v>0</v>
      </c>
    </row>
    <row r="47" spans="1:43" ht="14.25" x14ac:dyDescent="0.2">
      <c r="B47" s="367" t="str">
        <f>'Typology Baseline - climate adj'!A47</f>
        <v>Office</v>
      </c>
      <c r="C47" s="525">
        <f t="shared" si="27"/>
        <v>717962630</v>
      </c>
      <c r="D47" s="526" t="b">
        <f t="shared" si="28"/>
        <v>1</v>
      </c>
      <c r="E47" s="526" t="str">
        <f t="shared" si="29"/>
        <v>City</v>
      </c>
      <c r="F47" s="617">
        <f t="shared" si="30"/>
        <v>82.1</v>
      </c>
      <c r="G47" s="531">
        <f>IF(D47,D23,'Typology Baseline - climate adj'!H47*$I$57+'Typology Baseline - climate adj'!I47)</f>
        <v>51.722999999999999</v>
      </c>
      <c r="H47" s="531">
        <f>IF(D47,C23,SUM('Typology Baseline - climate adj'!C47*$K$57*$K$58*G23,'Typology Baseline - climate adj'!$D47*H23,'Typology Baseline - climate adj'!$E47:$F47))</f>
        <v>30.376999999999995</v>
      </c>
      <c r="I47" s="531">
        <f>'Typology Baseline - climate adj'!H47*$I$57/'Typology Baseline - climate adj'!G47*G47</f>
        <v>4.4228002437766616</v>
      </c>
      <c r="J47" s="531">
        <f t="shared" si="31"/>
        <v>47.300199756223336</v>
      </c>
      <c r="K47" s="531">
        <f>IF(G23,'Typology Baseline - climate adj'!C47*$K$57*H47/SUM('Typology Baseline - climate adj'!C47*$K$57,'Typology Baseline - climate adj'!$D47:$F47),0)</f>
        <v>21.418569232419838</v>
      </c>
      <c r="L47" s="531">
        <f>IF(H23,($H47-$K47)/SUM('Typology Baseline - climate adj'!$D47:$F47)*'Typology Baseline - climate adj'!D47,0)</f>
        <v>3.02820194960456</v>
      </c>
      <c r="M47" s="531">
        <f>IF('Typology Baseline - climate adj'!E47=0,0,($H47-$K47-$L47)/SUM('Typology Baseline - climate adj'!$E47:$F47)*'Typology Baseline - climate adj'!E47)</f>
        <v>0</v>
      </c>
      <c r="N47" s="618">
        <f>IF('Typology Baseline - climate adj'!F47=0,0,($H47-$K47-$L47)/SUM('Typology Baseline - climate adj'!$E47:$F47)*'Typology Baseline - climate adj'!F47)</f>
        <v>5.9302288179755989</v>
      </c>
      <c r="O47" s="612"/>
      <c r="P47" s="526"/>
      <c r="Q47" s="525">
        <f t="shared" si="32"/>
        <v>14.992998462693885</v>
      </c>
      <c r="R47" s="525">
        <f t="shared" si="33"/>
        <v>3.02820194960456</v>
      </c>
      <c r="S47" s="525">
        <f t="shared" si="34"/>
        <v>0</v>
      </c>
      <c r="T47" s="525">
        <f t="shared" si="35"/>
        <v>5.9302288179755989</v>
      </c>
      <c r="U47" s="525"/>
      <c r="V47" s="525">
        <f t="shared" si="48"/>
        <v>23.951429230274044</v>
      </c>
      <c r="W47" s="533">
        <f t="shared" si="37"/>
        <v>36.206099999999999</v>
      </c>
      <c r="X47" s="533">
        <f t="shared" si="50"/>
        <v>60.157529230274044</v>
      </c>
      <c r="Y47" s="526"/>
      <c r="Z47" s="525">
        <f>SUMPRODUCT(Q47:T47,'Electrification of Gas End Uses'!$D$4:$G$4)</f>
        <v>11.28776438039289</v>
      </c>
      <c r="AA47" s="533">
        <f t="shared" si="51"/>
        <v>36.206099999999999</v>
      </c>
      <c r="AB47" s="533">
        <f t="shared" si="52"/>
        <v>47.493864380392893</v>
      </c>
      <c r="AD47" s="525">
        <f t="shared" si="49"/>
        <v>9.8999999999999986</v>
      </c>
      <c r="AE47" s="538">
        <f t="shared" si="53"/>
        <v>3.02820194960456</v>
      </c>
      <c r="AF47" s="538">
        <f t="shared" si="42"/>
        <v>0</v>
      </c>
      <c r="AG47" s="538">
        <f t="shared" si="26"/>
        <v>5.9302288179755989</v>
      </c>
      <c r="AH47" s="538">
        <f t="shared" si="43"/>
        <v>33.110139829356335</v>
      </c>
      <c r="AI47" s="539">
        <f t="shared" si="44"/>
        <v>3.095960170643663</v>
      </c>
      <c r="AJ47" s="525">
        <f>SUMPRODUCT(AD47:AG47,'Electrification of Gas End Uses'!$D$4:$G$4)</f>
        <v>9.6580048723308476</v>
      </c>
      <c r="AK47" s="533">
        <f t="shared" si="54"/>
        <v>36.206099999999999</v>
      </c>
      <c r="AL47" s="533">
        <f t="shared" si="46"/>
        <v>45.864104872330849</v>
      </c>
      <c r="AN47" s="534">
        <f>SUMPRODUCT(K47:N47,'Electrification of Gas End Uses'!$D$5:$G$5)</f>
        <v>6.2338343169254546</v>
      </c>
      <c r="AO47" s="521">
        <f>SUMPRODUCT(K47:N47,'Electrification of Gas End Uses'!$D$6:$G$6)</f>
        <v>26.279581730823796</v>
      </c>
      <c r="AP47" s="540">
        <f>(AH$57+IF(AH47&gt;(AH$60),AH47-AH$60,0))*(1+$AH$59)/'Electrification of Gas End Uses'!$D$12</f>
        <v>12.796375931742535</v>
      </c>
      <c r="AQ47" s="541">
        <f t="shared" si="47"/>
        <v>0</v>
      </c>
    </row>
    <row r="48" spans="1:43" ht="14.25" x14ac:dyDescent="0.2">
      <c r="B48" s="367" t="str">
        <f>'Typology Baseline - climate adj'!A48</f>
        <v>Other</v>
      </c>
      <c r="C48" s="525">
        <f t="shared" si="27"/>
        <v>105696502</v>
      </c>
      <c r="D48" s="526" t="b">
        <f t="shared" si="28"/>
        <v>1</v>
      </c>
      <c r="E48" s="526" t="str">
        <f t="shared" si="29"/>
        <v>City</v>
      </c>
      <c r="F48" s="617">
        <f t="shared" si="30"/>
        <v>73.05</v>
      </c>
      <c r="G48" s="531">
        <f>IF(D48,D24,'Typology Baseline - climate adj'!H48*$I$57+'Typology Baseline - climate adj'!I48)</f>
        <v>40.908000000000001</v>
      </c>
      <c r="H48" s="531">
        <f>IF(D48,C24,SUM('Typology Baseline - climate adj'!C48*$K$57*$K$58*G24,'Typology Baseline - climate adj'!$D48*H24,'Typology Baseline - climate adj'!$E48:$F48))</f>
        <v>32.141999999999996</v>
      </c>
      <c r="I48" s="531">
        <f>'Typology Baseline - climate adj'!H49*$I$57/'Typology Baseline - climate adj'!G49*G48</f>
        <v>9.4737602355121862</v>
      </c>
      <c r="J48" s="531">
        <f t="shared" si="31"/>
        <v>31.434239764487813</v>
      </c>
      <c r="K48" s="531">
        <f>IF(G24,'Typology Baseline - climate adj'!C48*$K$57*H48/SUM('Typology Baseline - climate adj'!C48*$K$57,'Typology Baseline - climate adj'!$D48:$F48),0)</f>
        <v>30.939595167359872</v>
      </c>
      <c r="L48" s="531">
        <f>IF(H24,($H48-$K48)/SUM('Typology Baseline - climate adj'!$D48:$F48)*'Typology Baseline - climate adj'!D48,0)</f>
        <v>1.2024048326401235</v>
      </c>
      <c r="M48" s="531">
        <f>IF('Typology Baseline - climate adj'!E48=0,0,($H48-$K48-$L48)/SUM('Typology Baseline - climate adj'!$E48:$F48)*'Typology Baseline - climate adj'!E48)</f>
        <v>0</v>
      </c>
      <c r="N48" s="618">
        <f>IF('Typology Baseline - climate adj'!F48=0,0,($H48-$K48-$L48)/SUM('Typology Baseline - climate adj'!$E48:$F48)*'Typology Baseline - climate adj'!F48)</f>
        <v>0</v>
      </c>
      <c r="O48" s="612"/>
      <c r="P48" s="526"/>
      <c r="Q48" s="525">
        <f t="shared" si="32"/>
        <v>21.657716617151909</v>
      </c>
      <c r="R48" s="525">
        <f t="shared" si="33"/>
        <v>1.2024048326401235</v>
      </c>
      <c r="S48" s="525">
        <f t="shared" si="34"/>
        <v>0</v>
      </c>
      <c r="T48" s="525">
        <f t="shared" si="35"/>
        <v>0</v>
      </c>
      <c r="U48" s="525"/>
      <c r="V48" s="525">
        <f t="shared" si="48"/>
        <v>22.860121449792032</v>
      </c>
      <c r="W48" s="533">
        <f t="shared" si="37"/>
        <v>28.6356</v>
      </c>
      <c r="X48" s="533">
        <f t="shared" si="50"/>
        <v>51.495721449792029</v>
      </c>
      <c r="Y48" s="526"/>
      <c r="Z48" s="525">
        <f>SUMPRODUCT(Q48:T48,'Electrification of Gas End Uses'!$D$4:$G$4)</f>
        <v>7.4223622035686612</v>
      </c>
      <c r="AA48" s="533">
        <f t="shared" si="51"/>
        <v>28.6356</v>
      </c>
      <c r="AB48" s="533">
        <f t="shared" si="52"/>
        <v>36.057962203568664</v>
      </c>
      <c r="AD48" s="525">
        <f t="shared" si="49"/>
        <v>9.8999999999999986</v>
      </c>
      <c r="AE48" s="538">
        <f t="shared" si="53"/>
        <v>1.2024048326401235</v>
      </c>
      <c r="AF48" s="538">
        <f t="shared" si="42"/>
        <v>0</v>
      </c>
      <c r="AG48" s="538">
        <f t="shared" si="26"/>
        <v>0</v>
      </c>
      <c r="AH48" s="538">
        <f t="shared" si="43"/>
        <v>22.003967835141466</v>
      </c>
      <c r="AI48" s="539">
        <f t="shared" si="44"/>
        <v>8.3539071340565876</v>
      </c>
      <c r="AJ48" s="525">
        <f>SUMPRODUCT(AD48:AG48,'Electrification of Gas End Uses'!$D$4:$G$4)</f>
        <v>3.6598928860800504</v>
      </c>
      <c r="AK48" s="533">
        <f t="shared" si="54"/>
        <v>30.357874969198054</v>
      </c>
      <c r="AL48" s="533">
        <f t="shared" si="46"/>
        <v>34.017767855278102</v>
      </c>
      <c r="AN48" s="534">
        <f>SUMPRODUCT(K48:N48,'Electrification of Gas End Uses'!$D$5:$G$5)</f>
        <v>3.1945963853610073</v>
      </c>
      <c r="AO48" s="521">
        <f>SUMPRODUCT(K48:N48,'Electrification of Gas End Uses'!$D$6:$G$6)</f>
        <v>32.116236986547321</v>
      </c>
      <c r="AP48" s="540">
        <f>(AH$57+IF(AH48&gt;(AH$60),AH48-AH$60,0))*(1+$AH$59)/'Electrification of Gas End Uses'!$D$12</f>
        <v>8.3539071340565876</v>
      </c>
      <c r="AQ48" s="541">
        <f t="shared" si="47"/>
        <v>-0.25970604617133475</v>
      </c>
    </row>
    <row r="49" spans="1:43" ht="14.25" x14ac:dyDescent="0.2">
      <c r="B49" s="367" t="str">
        <f>'Typology Baseline - climate adj'!A49</f>
        <v>Public assembly</v>
      </c>
      <c r="C49" s="525">
        <f t="shared" si="27"/>
        <v>45357092</v>
      </c>
      <c r="D49" s="526" t="b">
        <f t="shared" si="28"/>
        <v>1</v>
      </c>
      <c r="E49" s="526" t="str">
        <f t="shared" si="29"/>
        <v>City</v>
      </c>
      <c r="F49" s="617">
        <f t="shared" si="30"/>
        <v>96.8</v>
      </c>
      <c r="G49" s="531">
        <f>IF(D49,D25,'Typology Baseline - climate adj'!H49*$I$57+'Typology Baseline - climate adj'!I49)</f>
        <v>50.335999999999999</v>
      </c>
      <c r="H49" s="531">
        <f>IF(D49,C25,SUM('Typology Baseline - climate adj'!C49*$K$57*$K$58*G25,'Typology Baseline - climate adj'!$D49*H25,'Typology Baseline - climate adj'!$E49:$F49))</f>
        <v>46.463999999999999</v>
      </c>
      <c r="I49" s="531">
        <f>'Typology Baseline - climate adj'!H50*$I$57/'Typology Baseline - climate adj'!G50*G49</f>
        <v>7.2774939759036128</v>
      </c>
      <c r="J49" s="531">
        <f t="shared" si="31"/>
        <v>43.058506024096388</v>
      </c>
      <c r="K49" s="531">
        <f>IF(G25,'Typology Baseline - climate adj'!C49*$K$57*H49/SUM('Typology Baseline - climate adj'!C49*$K$57,'Typology Baseline - climate adj'!$D49:$F49),0)</f>
        <v>36.213298730773495</v>
      </c>
      <c r="L49" s="531">
        <f>IF(H25,($H49-$K49)/SUM('Typology Baseline - climate adj'!$D49:$F49)*'Typology Baseline - climate adj'!D49,0)</f>
        <v>1.6307933837405804</v>
      </c>
      <c r="M49" s="531">
        <f>IF('Typology Baseline - climate adj'!E49=0,0,($H49-$K49-$L49)/SUM('Typology Baseline - climate adj'!$E49:$F49)*'Typology Baseline - climate adj'!E49)</f>
        <v>4.9700369790189098</v>
      </c>
      <c r="N49" s="618">
        <f>IF('Typology Baseline - climate adj'!F49=0,0,($H49-$K49-$L49)/SUM('Typology Baseline - climate adj'!$E49:$F49)*'Typology Baseline - climate adj'!F49)</f>
        <v>3.6498709064670116</v>
      </c>
      <c r="O49" s="612"/>
      <c r="P49" s="526"/>
      <c r="Q49" s="525">
        <f t="shared" si="32"/>
        <v>25.349309111541444</v>
      </c>
      <c r="R49" s="525">
        <f t="shared" si="33"/>
        <v>1.6307933837405804</v>
      </c>
      <c r="S49" s="525">
        <f t="shared" si="34"/>
        <v>4.9700369790189098</v>
      </c>
      <c r="T49" s="525">
        <f t="shared" si="35"/>
        <v>3.6498709064670116</v>
      </c>
      <c r="U49" s="525"/>
      <c r="V49" s="525">
        <f t="shared" si="48"/>
        <v>35.600010380767948</v>
      </c>
      <c r="W49" s="533">
        <f t="shared" si="37"/>
        <v>35.235199999999999</v>
      </c>
      <c r="X49" s="533">
        <f t="shared" si="50"/>
        <v>70.835210380767947</v>
      </c>
      <c r="Y49" s="526"/>
      <c r="Z49" s="525">
        <f>SUMPRODUCT(Q49:T49,'Electrification of Gas End Uses'!$D$4:$G$4)</f>
        <v>15.038623764107125</v>
      </c>
      <c r="AA49" s="533">
        <f t="shared" si="51"/>
        <v>35.235199999999999</v>
      </c>
      <c r="AB49" s="533">
        <f t="shared" si="52"/>
        <v>50.273823764107121</v>
      </c>
      <c r="AD49" s="525">
        <f t="shared" si="49"/>
        <v>9.8999999999999986</v>
      </c>
      <c r="AE49" s="538">
        <f t="shared" si="53"/>
        <v>1.6307933837405804</v>
      </c>
      <c r="AF49" s="538">
        <f t="shared" si="42"/>
        <v>4.9700369790189098</v>
      </c>
      <c r="AG49" s="538">
        <f t="shared" si="26"/>
        <v>3.6498709064670116</v>
      </c>
      <c r="AH49" s="538">
        <f t="shared" si="43"/>
        <v>30.14095421686747</v>
      </c>
      <c r="AI49" s="539">
        <f t="shared" si="44"/>
        <v>5.0942457831325285</v>
      </c>
      <c r="AJ49" s="525">
        <f>SUMPRODUCT(AD49:AG49,'Electrification of Gas End Uses'!$D$4:$G$4)</f>
        <v>10.094844848413864</v>
      </c>
      <c r="AK49" s="533">
        <f t="shared" si="54"/>
        <v>35.235199999999999</v>
      </c>
      <c r="AL49" s="533">
        <f t="shared" si="46"/>
        <v>45.330044848413863</v>
      </c>
      <c r="AN49" s="534">
        <f>SUMPRODUCT(K49:N49,'Electrification of Gas End Uses'!$D$5:$G$5)</f>
        <v>9.865156876767827</v>
      </c>
      <c r="AO49" s="521">
        <f>SUMPRODUCT(K49:N49,'Electrification of Gas End Uses'!$D$6:$G$6)</f>
        <v>43.413536204469899</v>
      </c>
      <c r="AP49" s="540">
        <f>(AH$57+IF(AH49&gt;(AH$60),AH49-AH$60,0))*(1+$AH$59)/'Electrification of Gas End Uses'!$D$12</f>
        <v>11.608701686746988</v>
      </c>
      <c r="AQ49" s="541">
        <f t="shared" si="47"/>
        <v>0</v>
      </c>
    </row>
    <row r="50" spans="1:43" ht="14.25" x14ac:dyDescent="0.2">
      <c r="B50" s="367" t="str">
        <f>'Typology Baseline - climate adj'!A50</f>
        <v>Public order and safety</v>
      </c>
      <c r="C50" s="525">
        <f t="shared" si="27"/>
        <v>22091523</v>
      </c>
      <c r="D50" s="526" t="b">
        <f t="shared" si="28"/>
        <v>1</v>
      </c>
      <c r="E50" s="526" t="str">
        <f t="shared" si="29"/>
        <v>City</v>
      </c>
      <c r="F50" s="617">
        <f t="shared" si="30"/>
        <v>113.65</v>
      </c>
      <c r="G50" s="531">
        <f>IF(D50,D26,'Typology Baseline - climate adj'!H50*$I$57+'Typology Baseline - climate adj'!I50)</f>
        <v>46.596500000000006</v>
      </c>
      <c r="H50" s="531">
        <f>IF(D50,C26,SUM('Typology Baseline - climate adj'!C50*$K$57*$K$58*G26,'Typology Baseline - climate adj'!$D50*H26,'Typology Baseline - climate adj'!$E50:$F50))</f>
        <v>67.0535</v>
      </c>
      <c r="I50" s="531">
        <f>'Typology Baseline - climate adj'!H51*$I$57/'Typology Baseline - climate adj'!G51*G50</f>
        <v>6.1012921118436019</v>
      </c>
      <c r="J50" s="531">
        <f t="shared" si="31"/>
        <v>40.495207888156401</v>
      </c>
      <c r="K50" s="531">
        <f>IF(G26,'Typology Baseline - climate adj'!C50*$K$57*H50/SUM('Typology Baseline - climate adj'!C50*$K$57,'Typology Baseline - climate adj'!$D50:$F50),0)</f>
        <v>38.746329047878227</v>
      </c>
      <c r="L50" s="531">
        <f>IF(H26,($H50-$K50)/SUM('Typology Baseline - climate adj'!$D50:$F50)*'Typology Baseline - climate adj'!D50,0)</f>
        <v>24.328251340377747</v>
      </c>
      <c r="M50" s="531">
        <f>IF('Typology Baseline - climate adj'!E50=0,0,($H50-$K50-$L50)/SUM('Typology Baseline - climate adj'!$E50:$F50)*'Typology Baseline - climate adj'!E50)</f>
        <v>3.978919611744026</v>
      </c>
      <c r="N50" s="618">
        <f>IF('Typology Baseline - climate adj'!F50=0,0,($H50-$K50-$L50)/SUM('Typology Baseline - climate adj'!$E50:$F50)*'Typology Baseline - climate adj'!F50)</f>
        <v>0</v>
      </c>
      <c r="O50" s="612"/>
      <c r="P50" s="526"/>
      <c r="Q50" s="525">
        <f t="shared" si="32"/>
        <v>27.122430333514757</v>
      </c>
      <c r="R50" s="525">
        <f t="shared" si="33"/>
        <v>24.328251340377747</v>
      </c>
      <c r="S50" s="525">
        <f t="shared" si="34"/>
        <v>3.978919611744026</v>
      </c>
      <c r="T50" s="525">
        <f t="shared" si="35"/>
        <v>0</v>
      </c>
      <c r="U50" s="525"/>
      <c r="V50" s="525">
        <f t="shared" si="48"/>
        <v>55.429601285636529</v>
      </c>
      <c r="W50" s="533">
        <f t="shared" si="37"/>
        <v>32.617550000000001</v>
      </c>
      <c r="X50" s="533">
        <f t="shared" si="50"/>
        <v>88.047151285636531</v>
      </c>
      <c r="Y50" s="526"/>
      <c r="Z50" s="525">
        <f>SUMPRODUCT(Q50:T50,'Electrification of Gas End Uses'!$D$4:$G$4)</f>
        <v>21.055609049576972</v>
      </c>
      <c r="AA50" s="533">
        <f t="shared" si="51"/>
        <v>32.617550000000001</v>
      </c>
      <c r="AB50" s="533">
        <f t="shared" si="52"/>
        <v>53.673159049576974</v>
      </c>
      <c r="AD50" s="525">
        <f t="shared" si="49"/>
        <v>9.8999999999999986</v>
      </c>
      <c r="AE50" s="538">
        <f t="shared" si="53"/>
        <v>24.328251340377747</v>
      </c>
      <c r="AF50" s="538">
        <f t="shared" si="42"/>
        <v>3.978919611744026</v>
      </c>
      <c r="AG50" s="538">
        <f t="shared" si="26"/>
        <v>0</v>
      </c>
      <c r="AH50" s="538">
        <f t="shared" si="43"/>
        <v>28.34664552170948</v>
      </c>
      <c r="AI50" s="539">
        <f t="shared" si="44"/>
        <v>4.2709044782905208</v>
      </c>
      <c r="AJ50" s="525">
        <f>SUMPRODUCT(AD50:AG50,'Electrification of Gas End Uses'!$D$4:$G$4)</f>
        <v>15.544431342852251</v>
      </c>
      <c r="AK50" s="533">
        <f t="shared" si="54"/>
        <v>32.617550000000001</v>
      </c>
      <c r="AL50" s="533">
        <f t="shared" si="46"/>
        <v>48.161981342852251</v>
      </c>
      <c r="AN50" s="534">
        <f>SUMPRODUCT(K50:N50,'Electrification of Gas End Uses'!$D$5:$G$5)</f>
        <v>9.3852836988575863</v>
      </c>
      <c r="AO50" s="521">
        <f>SUMPRODUCT(K50:N50,'Electrification of Gas End Uses'!$D$6:$G$6)</f>
        <v>48.345986607842434</v>
      </c>
      <c r="AP50" s="540">
        <f>(AH$57+IF(AH50&gt;(AH$60),AH50-AH$60,0))*(1+$AH$59)/'Electrification of Gas End Uses'!$D$12</f>
        <v>10.890978208683791</v>
      </c>
      <c r="AQ50" s="541">
        <f t="shared" si="47"/>
        <v>0</v>
      </c>
    </row>
    <row r="51" spans="1:43" ht="14.25" x14ac:dyDescent="0.2">
      <c r="B51" s="367" t="str">
        <f>'Typology Baseline - climate adj'!A51</f>
        <v>Religious worship</v>
      </c>
      <c r="C51" s="525">
        <f t="shared" si="27"/>
        <v>10555813</v>
      </c>
      <c r="D51" s="526" t="b">
        <f t="shared" si="28"/>
        <v>1</v>
      </c>
      <c r="E51" s="526" t="str">
        <f t="shared" si="29"/>
        <v>City</v>
      </c>
      <c r="F51" s="617">
        <f t="shared" si="30"/>
        <v>81</v>
      </c>
      <c r="G51" s="531">
        <f>IF(D51,D27,'Typology Baseline - climate adj'!H51*$I$57+'Typology Baseline - climate adj'!I51)</f>
        <v>38.879999999999995</v>
      </c>
      <c r="H51" s="531">
        <f>IF(D51,C27,SUM('Typology Baseline - climate adj'!C51*$K$57*$K$58*G27,'Typology Baseline - climate adj'!$D51*H27,'Typology Baseline - climate adj'!$E51:$F51))</f>
        <v>42.120000000000005</v>
      </c>
      <c r="I51" s="531">
        <f>'Typology Baseline - climate adj'!H52*$I$57/'Typology Baseline - climate adj'!G52*G51</f>
        <v>3.76205147438001</v>
      </c>
      <c r="J51" s="531">
        <f t="shared" si="31"/>
        <v>35.117948525619987</v>
      </c>
      <c r="K51" s="531">
        <f>IF(G27,'Typology Baseline - climate adj'!C51*$K$57*H51/SUM('Typology Baseline - climate adj'!C51*$K$57,'Typology Baseline - climate adj'!$D51:$F51),0)</f>
        <v>36.013412816691506</v>
      </c>
      <c r="L51" s="531">
        <f>IF(H27,($H51-$K51)/SUM('Typology Baseline - climate adj'!$D51:$F51)*'Typology Baseline - climate adj'!D51,0)</f>
        <v>0</v>
      </c>
      <c r="M51" s="531">
        <f>IF('Typology Baseline - climate adj'!E51=0,0,($H51-$K51-$L51)/SUM('Typology Baseline - climate adj'!$E51:$F51)*'Typology Baseline - climate adj'!E51)</f>
        <v>6.1065871833084984</v>
      </c>
      <c r="N51" s="618">
        <f>IF('Typology Baseline - climate adj'!F51=0,0,($H51-$K51-$L51)/SUM('Typology Baseline - climate adj'!$E51:$F51)*'Typology Baseline - climate adj'!F51)</f>
        <v>0</v>
      </c>
      <c r="O51" s="612"/>
      <c r="P51" s="526"/>
      <c r="Q51" s="525">
        <f t="shared" si="32"/>
        <v>25.209388971684053</v>
      </c>
      <c r="R51" s="525">
        <f t="shared" si="33"/>
        <v>0</v>
      </c>
      <c r="S51" s="525">
        <f t="shared" si="34"/>
        <v>6.1065871833084984</v>
      </c>
      <c r="T51" s="525">
        <f t="shared" si="35"/>
        <v>0</v>
      </c>
      <c r="U51" s="525"/>
      <c r="V51" s="525">
        <f t="shared" si="48"/>
        <v>31.315976154992551</v>
      </c>
      <c r="W51" s="533">
        <f t="shared" si="37"/>
        <v>27.215999999999994</v>
      </c>
      <c r="X51" s="533">
        <f t="shared" si="50"/>
        <v>58.531976154992549</v>
      </c>
      <c r="Y51" s="526"/>
      <c r="Z51" s="525">
        <f>SUMPRODUCT(Q51:T51,'Electrification of Gas End Uses'!$D$4:$G$4)</f>
        <v>11.787148215094131</v>
      </c>
      <c r="AA51" s="533">
        <f t="shared" si="51"/>
        <v>27.215999999999994</v>
      </c>
      <c r="AB51" s="533">
        <f t="shared" si="52"/>
        <v>39.003148215094129</v>
      </c>
      <c r="AD51" s="525">
        <f t="shared" si="49"/>
        <v>9.8999999999999986</v>
      </c>
      <c r="AE51" s="538">
        <f t="shared" si="53"/>
        <v>0</v>
      </c>
      <c r="AF51" s="538">
        <f t="shared" si="42"/>
        <v>6.1065871833084984</v>
      </c>
      <c r="AG51" s="538">
        <f t="shared" si="26"/>
        <v>0</v>
      </c>
      <c r="AH51" s="538">
        <f t="shared" si="43"/>
        <v>24.582563967933989</v>
      </c>
      <c r="AI51" s="539">
        <f t="shared" si="44"/>
        <v>2.6334360320660068</v>
      </c>
      <c r="AJ51" s="525">
        <f>SUMPRODUCT(AD51:AG51,'Electrification of Gas End Uses'!$D$4:$G$4)</f>
        <v>6.8881437441552329</v>
      </c>
      <c r="AK51" s="533">
        <f t="shared" si="54"/>
        <v>27.215999999999998</v>
      </c>
      <c r="AL51" s="533">
        <f t="shared" si="46"/>
        <v>34.10414374415523</v>
      </c>
      <c r="AN51" s="534">
        <f>SUMPRODUCT(K51:N51,'Electrification of Gas End Uses'!$D$5:$G$5)</f>
        <v>8.2022811018158261</v>
      </c>
      <c r="AO51" s="521">
        <f>SUMPRODUCT(K51:N51,'Electrification of Gas End Uses'!$D$6:$G$6)</f>
        <v>41.474540240339678</v>
      </c>
      <c r="AP51" s="540">
        <f>(AH$57+IF(AH51&gt;(AH$60),AH51-AH$60,0))*(1+$AH$59)/'Electrification of Gas End Uses'!$D$12</f>
        <v>9.3853455871735942</v>
      </c>
      <c r="AQ51" s="541">
        <f t="shared" si="47"/>
        <v>0</v>
      </c>
    </row>
    <row r="52" spans="1:43" ht="14.25" x14ac:dyDescent="0.2">
      <c r="B52" s="367" t="str">
        <f>'Typology Baseline - climate adj'!A52</f>
        <v>Service</v>
      </c>
      <c r="C52" s="525">
        <f t="shared" si="27"/>
        <v>10152313</v>
      </c>
      <c r="D52" s="526" t="b">
        <f t="shared" si="28"/>
        <v>1</v>
      </c>
      <c r="E52" s="526" t="str">
        <f t="shared" si="29"/>
        <v>City</v>
      </c>
      <c r="F52" s="617">
        <f t="shared" si="30"/>
        <v>121.6</v>
      </c>
      <c r="G52" s="531">
        <f>IF(D52,D28,'Typology Baseline - climate adj'!H52*$I$57+'Typology Baseline - climate adj'!I52)</f>
        <v>32.223999999999997</v>
      </c>
      <c r="H52" s="531">
        <f>IF(D52,C28,SUM('Typology Baseline - climate adj'!C52*$K$57*$K$58*G28,'Typology Baseline - climate adj'!$D52*H28,'Typology Baseline - climate adj'!$E52:$F52))</f>
        <v>89.376000000000005</v>
      </c>
      <c r="I52" s="531">
        <f>'Typology Baseline - climate adj'!H53*$I$57/'Typology Baseline - climate adj'!G53*G52</f>
        <v>2.9198583088112811</v>
      </c>
      <c r="J52" s="531">
        <f t="shared" si="31"/>
        <v>29.304141691188715</v>
      </c>
      <c r="K52" s="531">
        <f>IF(G28,'Typology Baseline - climate adj'!C52*$K$57*H52/SUM('Typology Baseline - climate adj'!C52*$K$57,'Typology Baseline - climate adj'!$D52:$F52),0)</f>
        <v>67.716679623226426</v>
      </c>
      <c r="L52" s="531">
        <f>IF(H28,($H52-$K52)/SUM('Typology Baseline - climate adj'!$D52:$F52)*'Typology Baseline - climate adj'!D52,0)</f>
        <v>21.659320376773579</v>
      </c>
      <c r="M52" s="531">
        <f>IF('Typology Baseline - climate adj'!E52=0,0,($H52-$K52-$L52)/SUM('Typology Baseline - climate adj'!$E52:$F52)*'Typology Baseline - climate adj'!E52)</f>
        <v>0</v>
      </c>
      <c r="N52" s="618">
        <f>IF('Typology Baseline - climate adj'!F52=0,0,($H52-$K52-$L52)/SUM('Typology Baseline - climate adj'!$E52:$F52)*'Typology Baseline - climate adj'!F52)</f>
        <v>0</v>
      </c>
      <c r="O52" s="612"/>
      <c r="P52" s="526"/>
      <c r="Q52" s="525">
        <f t="shared" si="32"/>
        <v>47.401675736258497</v>
      </c>
      <c r="R52" s="525">
        <f t="shared" si="33"/>
        <v>21.659320376773579</v>
      </c>
      <c r="S52" s="525">
        <f t="shared" si="34"/>
        <v>0</v>
      </c>
      <c r="T52" s="525">
        <f t="shared" si="35"/>
        <v>0</v>
      </c>
      <c r="U52" s="525"/>
      <c r="V52" s="525">
        <f t="shared" si="48"/>
        <v>69.060996113032076</v>
      </c>
      <c r="W52" s="533">
        <f t="shared" si="37"/>
        <v>22.556799999999996</v>
      </c>
      <c r="X52" s="533">
        <f t="shared" si="50"/>
        <v>91.617796113032071</v>
      </c>
      <c r="Y52" s="526"/>
      <c r="Z52" s="525">
        <f>SUMPRODUCT(Q52:T52,'Electrification of Gas End Uses'!$D$4:$G$4)</f>
        <v>24.029167298828273</v>
      </c>
      <c r="AA52" s="533">
        <f t="shared" si="51"/>
        <v>22.556799999999996</v>
      </c>
      <c r="AB52" s="533">
        <f t="shared" si="52"/>
        <v>46.585967298828265</v>
      </c>
      <c r="AD52" s="525">
        <f t="shared" si="49"/>
        <v>9.8999999999999986</v>
      </c>
      <c r="AE52" s="538">
        <f t="shared" si="53"/>
        <v>21.659320376773579</v>
      </c>
      <c r="AF52" s="538">
        <f t="shared" si="53"/>
        <v>0</v>
      </c>
      <c r="AG52" s="538">
        <f t="shared" si="26"/>
        <v>0</v>
      </c>
      <c r="AH52" s="538">
        <f t="shared" si="43"/>
        <v>20.512899183832101</v>
      </c>
      <c r="AI52" s="539">
        <f t="shared" si="44"/>
        <v>2.0439008161678967</v>
      </c>
      <c r="AJ52" s="525">
        <f>SUMPRODUCT(AD52:AG52,'Electrification of Gas End Uses'!$D$4:$G$4)</f>
        <v>12.028631063225554</v>
      </c>
      <c r="AK52" s="533">
        <f t="shared" si="54"/>
        <v>22.556799999999996</v>
      </c>
      <c r="AL52" s="533">
        <f t="shared" si="46"/>
        <v>34.585431063225549</v>
      </c>
      <c r="AN52" s="534">
        <f>SUMPRODUCT(K52:N52,'Electrification of Gas End Uses'!$D$5:$G$5)</f>
        <v>8.9665538196466894</v>
      </c>
      <c r="AO52" s="521">
        <f>SUMPRODUCT(K52:N52,'Electrification of Gas End Uses'!$D$6:$G$6)</f>
        <v>74.669335941502567</v>
      </c>
      <c r="AP52" s="540">
        <f>(AH$57+IF(AH52&gt;(AH$60),AH52-AH$60,0))*(1+$AH$59)/'Electrification of Gas End Uses'!$D$12</f>
        <v>7.7574796735328393</v>
      </c>
      <c r="AQ52" s="541">
        <f t="shared" si="47"/>
        <v>0</v>
      </c>
    </row>
    <row r="53" spans="1:43" ht="14.25" x14ac:dyDescent="0.2">
      <c r="B53" s="367" t="str">
        <f>'Typology Baseline - climate adj'!A53</f>
        <v>Warehouse and storage</v>
      </c>
      <c r="C53" s="525">
        <f t="shared" si="27"/>
        <v>103653477</v>
      </c>
      <c r="D53" s="526" t="b">
        <f t="shared" si="28"/>
        <v>1</v>
      </c>
      <c r="E53" s="526" t="str">
        <f t="shared" si="29"/>
        <v>City</v>
      </c>
      <c r="F53" s="617">
        <f t="shared" si="30"/>
        <v>67.599999999999994</v>
      </c>
      <c r="G53" s="531">
        <f>IF(D53,D29,'Typology Baseline - climate adj'!H53*$I$57+'Typology Baseline - climate adj'!I53)</f>
        <v>38.532000000000004</v>
      </c>
      <c r="H53" s="531">
        <f>IF(D53,C29,SUM('Typology Baseline - climate adj'!C53*$K$57*$K$58*G29,'Typology Baseline - climate adj'!$D53*H29,'Typology Baseline - climate adj'!$E53:$F53))</f>
        <v>29.067999999999991</v>
      </c>
      <c r="I53" s="531">
        <f>'Typology Baseline - climate adj'!H48*$I$57/'Typology Baseline - climate adj'!G48*G53</f>
        <v>3.3863442889517685</v>
      </c>
      <c r="J53" s="531">
        <f t="shared" si="31"/>
        <v>35.145655711048235</v>
      </c>
      <c r="K53" s="531">
        <f>IF(G29,'Typology Baseline - climate adj'!C53*$K$57*H53/SUM('Typology Baseline - climate adj'!C53*$K$57,'Typology Baseline - climate adj'!$D53:$F53),0)</f>
        <v>20.064185741499735</v>
      </c>
      <c r="L53" s="531">
        <f>IF(H29,($H53-$K53)/SUM('Typology Baseline - climate adj'!$D53:$F53)*'Typology Baseline - climate adj'!D53,0)</f>
        <v>2.6374809444091656</v>
      </c>
      <c r="M53" s="531">
        <f>IF('Typology Baseline - climate adj'!E53=0,0,($H53-$K53-$L53)/SUM('Typology Baseline - climate adj'!$E53:$F53)*'Typology Baseline - climate adj'!E53)</f>
        <v>0</v>
      </c>
      <c r="N53" s="618">
        <f>IF('Typology Baseline - climate adj'!F53=0,0,($H53-$K53-$L53)/SUM('Typology Baseline - climate adj'!$E53:$F53)*'Typology Baseline - climate adj'!F53)</f>
        <v>6.36633331409109</v>
      </c>
      <c r="O53" s="612"/>
      <c r="P53" s="526"/>
      <c r="Q53" s="525">
        <f t="shared" si="32"/>
        <v>14.044930019049813</v>
      </c>
      <c r="R53" s="525">
        <f t="shared" si="33"/>
        <v>2.6374809444091656</v>
      </c>
      <c r="S53" s="525">
        <f t="shared" si="34"/>
        <v>0</v>
      </c>
      <c r="T53" s="525">
        <f t="shared" si="35"/>
        <v>6.36633331409109</v>
      </c>
      <c r="U53" s="525"/>
      <c r="V53" s="525">
        <f t="shared" si="48"/>
        <v>23.048744277550067</v>
      </c>
      <c r="W53" s="533">
        <f t="shared" si="37"/>
        <v>26.9724</v>
      </c>
      <c r="X53" s="533">
        <f t="shared" si="50"/>
        <v>50.021144277550064</v>
      </c>
      <c r="Y53" s="526"/>
      <c r="Z53" s="525">
        <f>SUMPRODUCT(Q53:T53,'Electrification of Gas End Uses'!$D$4:$G$4)</f>
        <v>11.210710933999781</v>
      </c>
      <c r="AA53" s="533">
        <f t="shared" si="51"/>
        <v>26.9724</v>
      </c>
      <c r="AB53" s="533">
        <f t="shared" si="52"/>
        <v>38.183110933999785</v>
      </c>
      <c r="AD53" s="525">
        <f t="shared" si="49"/>
        <v>9.8999999999999986</v>
      </c>
      <c r="AE53" s="538">
        <f t="shared" si="53"/>
        <v>2.6374809444091656</v>
      </c>
      <c r="AF53" s="538">
        <f t="shared" si="53"/>
        <v>0</v>
      </c>
      <c r="AG53" s="538">
        <f t="shared" si="26"/>
        <v>6.36633331409109</v>
      </c>
      <c r="AH53" s="538">
        <f t="shared" si="43"/>
        <v>24.601958997733764</v>
      </c>
      <c r="AI53" s="539">
        <f t="shared" si="44"/>
        <v>2.3704410022662379</v>
      </c>
      <c r="AJ53" s="525">
        <f>SUMPRODUCT(AD53:AG53,'Electrification of Gas End Uses'!$D$4:$G$4)</f>
        <v>9.884333327903839</v>
      </c>
      <c r="AK53" s="533">
        <f t="shared" si="54"/>
        <v>26.9724</v>
      </c>
      <c r="AL53" s="533">
        <f t="shared" si="46"/>
        <v>36.856733327903839</v>
      </c>
      <c r="AN53" s="534">
        <f>SUMPRODUCT(K53:N53,'Electrification of Gas End Uses'!$D$5:$G$5)</f>
        <v>6.3379450924320215</v>
      </c>
      <c r="AO53" s="521">
        <f>SUMPRODUCT(K53:N53,'Electrification of Gas End Uses'!$D$6:$G$6)</f>
        <v>25.056337782014502</v>
      </c>
      <c r="AP53" s="540">
        <f>(AH$57+IF(AH53&gt;(AH$60),AH53-AH$60,0))*(1+$AH$59)/'Electrification of Gas End Uses'!$D$12</f>
        <v>9.3931035990935037</v>
      </c>
      <c r="AQ53" s="541">
        <f t="shared" si="47"/>
        <v>0</v>
      </c>
    </row>
    <row r="54" spans="1:43" ht="15" thickBot="1" x14ac:dyDescent="0.25">
      <c r="B54" s="367" t="str">
        <f>'Typology Baseline - climate adj'!A54</f>
        <v>Vacant</v>
      </c>
      <c r="C54" s="525">
        <f t="shared" si="27"/>
        <v>0</v>
      </c>
      <c r="D54" s="526" t="b">
        <f t="shared" si="28"/>
        <v>0</v>
      </c>
      <c r="E54" s="526" t="str">
        <f t="shared" si="29"/>
        <v>CBECS</v>
      </c>
      <c r="F54" s="619">
        <f t="shared" si="30"/>
        <v>47.254339482153377</v>
      </c>
      <c r="G54" s="620">
        <f>IF(D54,D30,'Typology Baseline - climate adj'!H54*$I$57+'Typology Baseline - climate adj'!I54)</f>
        <v>13.772289156626506</v>
      </c>
      <c r="H54" s="620">
        <f>IF(D54,C30,SUM('Typology Baseline - climate adj'!C54*$K$57*$K$58*G30,'Typology Baseline - climate adj'!$D54*H30,'Typology Baseline - climate adj'!$E54:$F54))</f>
        <v>33.48205032552687</v>
      </c>
      <c r="I54" s="620">
        <f>'Typology Baseline - climate adj'!H54*$I$57/'Typology Baseline - climate adj'!G54*G54</f>
        <v>1.1919955208095723</v>
      </c>
      <c r="J54" s="620">
        <f t="shared" si="31"/>
        <v>12.580293635816934</v>
      </c>
      <c r="K54" s="620">
        <f>IF(G30,'Typology Baseline - climate adj'!C54*$K$57*H54/SUM('Typology Baseline - climate adj'!C54*$K$57,'Typology Baseline - climate adj'!$D54:$F54),0)</f>
        <v>31.272586747848347</v>
      </c>
      <c r="L54" s="620">
        <f>IF(H30,($H54-$K54)/SUM('Typology Baseline - climate adj'!$D54:$F54)*'Typology Baseline - climate adj'!D54,0)</f>
        <v>2.2094635776785232</v>
      </c>
      <c r="M54" s="620">
        <f>IF('Typology Baseline - climate adj'!E54=0,0,($H54-$K54-$L54)/SUM('Typology Baseline - climate adj'!$E54:$F54)*'Typology Baseline - climate adj'!E54)</f>
        <v>0</v>
      </c>
      <c r="N54" s="621">
        <f>IF('Typology Baseline - climate adj'!F54=0,0,($H54-$K54-$L54)/SUM('Typology Baseline - climate adj'!$E54:$F54)*'Typology Baseline - climate adj'!F54)</f>
        <v>0</v>
      </c>
      <c r="O54" s="612"/>
      <c r="P54" s="526"/>
      <c r="Q54" s="525">
        <f t="shared" si="32"/>
        <v>21.890810723493843</v>
      </c>
      <c r="R54" s="525">
        <f t="shared" si="33"/>
        <v>2.2094635776785232</v>
      </c>
      <c r="S54" s="525">
        <f t="shared" si="34"/>
        <v>0</v>
      </c>
      <c r="T54" s="525">
        <f t="shared" si="35"/>
        <v>0</v>
      </c>
      <c r="U54" s="525"/>
      <c r="V54" s="525">
        <f t="shared" si="48"/>
        <v>24.100274301172366</v>
      </c>
      <c r="W54" s="533">
        <f t="shared" si="37"/>
        <v>9.6406024096385536</v>
      </c>
      <c r="X54" s="533">
        <f t="shared" si="50"/>
        <v>33.740876710810923</v>
      </c>
      <c r="Y54" s="526"/>
      <c r="Z54" s="525">
        <f>SUMPRODUCT(Q54:T54,'Electrification of Gas End Uses'!$D$4:$G$4)</f>
        <v>7.9089308951137891</v>
      </c>
      <c r="AA54" s="533">
        <f t="shared" si="51"/>
        <v>9.6406024096385536</v>
      </c>
      <c r="AB54" s="533">
        <f t="shared" si="52"/>
        <v>17.549533304752345</v>
      </c>
      <c r="AD54" s="525">
        <f t="shared" si="49"/>
        <v>9.8999999999999986</v>
      </c>
      <c r="AE54" s="538">
        <f t="shared" si="53"/>
        <v>2.2094635776785232</v>
      </c>
      <c r="AF54" s="538">
        <f t="shared" si="53"/>
        <v>0</v>
      </c>
      <c r="AG54" s="538">
        <f t="shared" si="26"/>
        <v>0</v>
      </c>
      <c r="AH54" s="538">
        <f t="shared" si="43"/>
        <v>8.8062055450718528</v>
      </c>
      <c r="AI54" s="539">
        <f t="shared" si="44"/>
        <v>0.83439686456670059</v>
      </c>
      <c r="AJ54" s="525">
        <f>SUMPRODUCT(AD54:AG54,'Electrification of Gas End Uses'!$D$4:$G$4)</f>
        <v>4.0718714635957589</v>
      </c>
      <c r="AK54" s="533">
        <f t="shared" si="54"/>
        <v>9.6406024096385536</v>
      </c>
      <c r="AL54" s="533">
        <f t="shared" si="46"/>
        <v>13.712473873234313</v>
      </c>
      <c r="AN54" s="534">
        <f>SUMPRODUCT(K54:N54,'Electrification of Gas End Uses'!$D$5:$G$5)</f>
        <v>3.3321448120345249</v>
      </c>
      <c r="AO54" s="521">
        <f>SUMPRODUCT(K54:N54,'Electrification of Gas End Uses'!$D$6:$G$6)</f>
        <v>32.690592283534045</v>
      </c>
      <c r="AP54" s="540">
        <f>(AH$57+IF(AH54&gt;(AH$60),AH54-AH$60,0))*(1+$AH$59)/'Electrification of Gas End Uses'!$D$12</f>
        <v>3.0748022180287409</v>
      </c>
      <c r="AQ54" s="541">
        <f t="shared" si="47"/>
        <v>0</v>
      </c>
    </row>
    <row r="55" spans="1:43" x14ac:dyDescent="0.2">
      <c r="A55" s="526"/>
      <c r="B55" s="526"/>
      <c r="C55" s="526"/>
      <c r="D55" s="530"/>
      <c r="E55" s="526"/>
      <c r="F55" s="533"/>
      <c r="G55" s="533"/>
      <c r="H55" s="533"/>
      <c r="I55" s="533"/>
      <c r="J55" s="533"/>
      <c r="K55" s="525"/>
      <c r="L55" s="525"/>
      <c r="M55" s="525"/>
      <c r="N55" s="525"/>
      <c r="O55" s="525"/>
      <c r="P55" s="526"/>
      <c r="Q55" s="525"/>
      <c r="R55" s="525"/>
      <c r="S55" s="525"/>
      <c r="T55" s="525"/>
      <c r="U55" s="525"/>
      <c r="V55" s="525"/>
      <c r="W55" s="533"/>
      <c r="X55" s="533"/>
      <c r="Y55" s="526"/>
      <c r="Z55" s="525"/>
      <c r="AA55" s="533"/>
      <c r="AB55" s="533"/>
      <c r="AC55" s="533"/>
      <c r="AP55" s="540"/>
      <c r="AQ55" s="541"/>
    </row>
    <row r="56" spans="1:43" x14ac:dyDescent="0.2">
      <c r="A56" s="526"/>
      <c r="B56" s="526"/>
      <c r="C56" s="526"/>
      <c r="D56" s="530"/>
      <c r="E56" s="526"/>
      <c r="F56" s="533"/>
      <c r="G56" s="533"/>
      <c r="H56" s="533"/>
      <c r="I56" s="495" t="s">
        <v>519</v>
      </c>
      <c r="J56" s="533"/>
      <c r="K56" s="611" t="s">
        <v>520</v>
      </c>
      <c r="L56" s="525"/>
      <c r="M56" s="525"/>
      <c r="N56" s="525"/>
      <c r="O56" s="525"/>
      <c r="P56" s="526"/>
      <c r="R56" s="525"/>
      <c r="S56" s="525"/>
      <c r="T56" s="525"/>
      <c r="U56" s="525"/>
      <c r="V56" s="525"/>
      <c r="Y56" s="526"/>
      <c r="Z56" s="525"/>
      <c r="AA56" s="533"/>
      <c r="AB56" s="533"/>
      <c r="AC56" s="533"/>
      <c r="AD56" s="495" t="s">
        <v>530</v>
      </c>
      <c r="AH56" s="495" t="s">
        <v>531</v>
      </c>
    </row>
    <row r="57" spans="1:43" x14ac:dyDescent="0.2">
      <c r="A57" s="526"/>
      <c r="B57" s="526"/>
      <c r="C57" s="526"/>
      <c r="D57" s="530"/>
      <c r="E57" s="526"/>
      <c r="F57" s="533"/>
      <c r="G57" s="533"/>
      <c r="H57" s="533"/>
      <c r="I57" s="535">
        <f>INDEX('Typology Baseline - climate adj'!$C$4:$C$8,MATCH(C3,'Typology Baseline - climate adj'!A4:A8,0))</f>
        <v>0.57831325301204817</v>
      </c>
      <c r="J57" s="533"/>
      <c r="K57" s="535">
        <f>INDEX('Typology Baseline - climate adj'!$B$4:$B$8,MATCH(C3,'Typology Baseline - climate adj'!A4:A8,0))</f>
        <v>1.3210332103321032</v>
      </c>
      <c r="L57" s="611" t="s">
        <v>1549</v>
      </c>
      <c r="M57" s="525"/>
      <c r="N57" s="525"/>
      <c r="O57" s="525"/>
      <c r="T57" s="525"/>
      <c r="U57" s="525"/>
      <c r="V57" s="525"/>
      <c r="X57" s="533"/>
      <c r="Y57" s="526"/>
      <c r="Z57" s="525"/>
      <c r="AA57" s="533"/>
      <c r="AB57" s="533"/>
      <c r="AC57" s="533"/>
      <c r="AD57" s="495">
        <v>7.92</v>
      </c>
      <c r="AE57" s="495" t="s">
        <v>459</v>
      </c>
      <c r="AH57" s="495">
        <v>4.75</v>
      </c>
      <c r="AI57" s="495" t="s">
        <v>459</v>
      </c>
    </row>
    <row r="58" spans="1:43" x14ac:dyDescent="0.2">
      <c r="A58" s="526"/>
      <c r="B58" s="526"/>
      <c r="C58" s="526"/>
      <c r="D58" s="530"/>
      <c r="E58" s="526"/>
      <c r="F58" s="533"/>
      <c r="G58" s="533"/>
      <c r="H58" s="533"/>
      <c r="I58" s="533"/>
      <c r="K58" s="535">
        <f>INDEX('Typology Baseline - climate adj'!$E$4:$E$8,MATCH(C3,'Typology Baseline - climate adj'!A4:A8,0))</f>
        <v>1.6190382938953043</v>
      </c>
      <c r="L58" s="614" t="s">
        <v>1548</v>
      </c>
      <c r="M58" s="525"/>
      <c r="N58" s="525"/>
      <c r="O58" s="525"/>
      <c r="U58" s="525"/>
      <c r="V58" s="525"/>
      <c r="X58" s="533"/>
      <c r="Y58" s="526"/>
      <c r="Z58" s="525"/>
      <c r="AA58" s="533"/>
      <c r="AB58" s="533"/>
      <c r="AC58" s="533"/>
      <c r="AD58" s="495" t="s">
        <v>532</v>
      </c>
    </row>
    <row r="59" spans="1:43" x14ac:dyDescent="0.2">
      <c r="A59" s="526"/>
      <c r="B59" s="526"/>
      <c r="C59" s="526"/>
      <c r="D59" s="530"/>
      <c r="E59" s="526"/>
      <c r="F59" s="533"/>
      <c r="G59" s="533"/>
      <c r="H59" s="533"/>
      <c r="I59" s="533"/>
      <c r="J59" s="533"/>
      <c r="K59" s="525"/>
      <c r="L59" s="525"/>
      <c r="M59" s="525"/>
      <c r="N59" s="525"/>
      <c r="O59" s="525"/>
      <c r="P59" s="613"/>
      <c r="Q59" s="525"/>
      <c r="R59" s="525"/>
      <c r="S59" s="525"/>
      <c r="T59" s="525"/>
      <c r="U59" s="525"/>
      <c r="V59" s="525"/>
      <c r="W59" s="533"/>
      <c r="X59" s="533"/>
      <c r="Y59" s="526"/>
      <c r="Z59" s="525"/>
      <c r="AA59" s="533"/>
      <c r="AB59" s="533"/>
      <c r="AC59" s="533"/>
      <c r="AD59" s="524">
        <f>AD$57*(1+$C$7)/'Electrification of Gas End Uses'!$D$11</f>
        <v>9.8999999999999986</v>
      </c>
      <c r="AH59" s="541">
        <v>0</v>
      </c>
    </row>
    <row r="60" spans="1:43" x14ac:dyDescent="0.2">
      <c r="A60" s="526"/>
      <c r="B60" s="526"/>
      <c r="C60" s="526"/>
      <c r="D60" s="530"/>
      <c r="E60" s="526"/>
      <c r="F60" s="533"/>
      <c r="G60" s="533"/>
      <c r="H60" s="533"/>
      <c r="I60" s="533"/>
      <c r="J60" s="533"/>
      <c r="K60" s="525"/>
      <c r="L60" s="525"/>
      <c r="M60" s="525"/>
      <c r="N60" s="525"/>
      <c r="O60" s="525"/>
      <c r="P60" s="526"/>
      <c r="Q60" s="525"/>
      <c r="R60" s="525"/>
      <c r="S60" s="525"/>
      <c r="T60" s="525"/>
      <c r="U60" s="525"/>
      <c r="V60" s="525"/>
      <c r="W60" s="533"/>
      <c r="X60" s="533"/>
      <c r="Y60" s="526"/>
      <c r="Z60" s="525"/>
      <c r="AA60" s="533"/>
      <c r="AB60" s="533"/>
      <c r="AC60" s="533"/>
      <c r="AH60" s="495">
        <f>0.67*8760/1000</f>
        <v>5.8692000000000011</v>
      </c>
    </row>
    <row r="61" spans="1:43" x14ac:dyDescent="0.2">
      <c r="A61" s="526"/>
      <c r="B61" s="526"/>
      <c r="C61" s="526"/>
      <c r="D61" s="530"/>
      <c r="E61" s="526"/>
      <c r="F61" s="533"/>
      <c r="G61" s="533"/>
      <c r="H61" s="533"/>
      <c r="I61" s="533"/>
      <c r="J61" s="533"/>
      <c r="K61" s="525"/>
      <c r="L61" s="525"/>
      <c r="M61" s="525"/>
      <c r="N61" s="525"/>
      <c r="O61" s="525"/>
      <c r="P61" s="526"/>
      <c r="Q61" s="525"/>
      <c r="R61" s="525"/>
      <c r="S61" s="525"/>
      <c r="T61" s="525"/>
      <c r="U61" s="525"/>
      <c r="V61" s="525"/>
      <c r="W61" s="533"/>
      <c r="X61" s="533"/>
      <c r="Y61" s="526"/>
      <c r="Z61" s="525"/>
      <c r="AA61" s="533"/>
      <c r="AB61" s="533"/>
      <c r="AC61" s="533"/>
    </row>
    <row r="62" spans="1:43" ht="14.25" x14ac:dyDescent="0.2">
      <c r="A62" s="526"/>
      <c r="B62" s="526"/>
      <c r="C62" s="526"/>
      <c r="D62" s="530"/>
      <c r="E62" s="526"/>
      <c r="F62" s="533"/>
      <c r="G62" s="533"/>
      <c r="H62" s="533"/>
      <c r="I62" s="525"/>
      <c r="J62" s="525"/>
      <c r="K62" s="525"/>
      <c r="L62" s="525"/>
      <c r="M62" s="525"/>
      <c r="N62" s="526"/>
      <c r="O62" s="525"/>
      <c r="P62" s="525"/>
      <c r="Q62" s="525"/>
      <c r="R62" s="525"/>
      <c r="S62" s="525"/>
      <c r="T62" s="525"/>
      <c r="U62" s="533"/>
      <c r="V62" s="533"/>
      <c r="W62" s="526"/>
      <c r="X62" s="525"/>
      <c r="Y62" s="533"/>
      <c r="Z62" s="533"/>
      <c r="AA62" s="533"/>
      <c r="AB62" s="138"/>
      <c r="AC62" s="138"/>
    </row>
    <row r="63" spans="1:43" ht="14.25" x14ac:dyDescent="0.2">
      <c r="A63" s="526"/>
      <c r="B63" s="526"/>
      <c r="C63" s="526"/>
      <c r="D63" s="530"/>
      <c r="E63" s="526"/>
      <c r="F63" s="533"/>
      <c r="G63" s="533"/>
      <c r="H63" s="533"/>
      <c r="I63" s="525"/>
      <c r="J63" s="525"/>
      <c r="K63" s="525"/>
      <c r="L63" s="525"/>
      <c r="M63" s="525"/>
      <c r="N63" s="526"/>
      <c r="O63" s="525"/>
      <c r="P63" s="525"/>
      <c r="Q63" s="525"/>
      <c r="R63" s="525"/>
      <c r="S63" s="525"/>
      <c r="T63" s="525"/>
      <c r="U63" s="533"/>
      <c r="V63" s="533"/>
      <c r="W63" s="526"/>
      <c r="X63" s="525"/>
      <c r="Y63" s="533"/>
      <c r="Z63" s="533"/>
      <c r="AA63" s="533"/>
      <c r="AB63" s="138"/>
      <c r="AC63" s="138"/>
    </row>
    <row r="64" spans="1:43" ht="14.25" x14ac:dyDescent="0.2">
      <c r="A64" s="526"/>
      <c r="B64" s="526"/>
      <c r="C64" s="526"/>
      <c r="D64" s="530"/>
      <c r="E64" s="526"/>
      <c r="F64" s="533"/>
      <c r="G64" s="533"/>
      <c r="H64" s="533"/>
      <c r="J64" s="525"/>
      <c r="K64" s="525"/>
      <c r="L64" s="525"/>
      <c r="M64" s="525"/>
      <c r="N64" s="526"/>
      <c r="O64" s="525"/>
      <c r="P64" s="525"/>
      <c r="Q64" s="525"/>
      <c r="R64" s="525"/>
      <c r="S64" s="525"/>
      <c r="T64" s="525"/>
      <c r="U64" s="533"/>
      <c r="V64" s="533"/>
      <c r="W64" s="526"/>
      <c r="X64" s="525"/>
      <c r="Y64" s="533"/>
      <c r="Z64" s="533"/>
      <c r="AA64" s="533"/>
      <c r="AB64" s="138"/>
      <c r="AC64" s="138"/>
    </row>
  </sheetData>
  <mergeCells count="6">
    <mergeCell ref="N10:P10"/>
    <mergeCell ref="Q10:S10"/>
    <mergeCell ref="T10:V10"/>
    <mergeCell ref="I34:J34"/>
    <mergeCell ref="K34:N34"/>
    <mergeCell ref="K10:M10"/>
  </mergeCells>
  <conditionalFormatting sqref="Z15:AB30">
    <cfRule type="dataBar" priority="3">
      <dataBar>
        <cfvo type="min"/>
        <cfvo type="max"/>
        <color rgb="FF63C384"/>
      </dataBar>
      <extLst>
        <ext xmlns:x14="http://schemas.microsoft.com/office/spreadsheetml/2009/9/main" uri="{B025F937-C7B1-47D3-B67F-A62EFF666E3E}">
          <x14:id>{A8BD3E99-BBE2-4186-B0D3-284B7CC6835F}</x14:id>
        </ext>
      </extLst>
    </cfRule>
  </conditionalFormatting>
  <conditionalFormatting sqref="AE15:AE30">
    <cfRule type="dataBar" priority="4">
      <dataBar>
        <cfvo type="min"/>
        <cfvo type="max"/>
        <color theme="8" tint="0.59999389629810485"/>
      </dataBar>
      <extLst>
        <ext xmlns:x14="http://schemas.microsoft.com/office/spreadsheetml/2009/9/main" uri="{B025F937-C7B1-47D3-B67F-A62EFF666E3E}">
          <x14:id>{8EE208BE-D1BA-40A1-8073-23346100ECEA}</x14:id>
        </ext>
      </extLst>
    </cfRule>
  </conditionalFormatting>
  <conditionalFormatting sqref="Z12:AB14">
    <cfRule type="dataBar" priority="1">
      <dataBar>
        <cfvo type="min"/>
        <cfvo type="max"/>
        <color rgb="FF63C384"/>
      </dataBar>
      <extLst>
        <ext xmlns:x14="http://schemas.microsoft.com/office/spreadsheetml/2009/9/main" uri="{B025F937-C7B1-47D3-B67F-A62EFF666E3E}">
          <x14:id>{7FA09F6F-E5EC-4134-85CB-0F3C671E0563}</x14:id>
        </ext>
      </extLst>
    </cfRule>
  </conditionalFormatting>
  <conditionalFormatting sqref="AE12:AE14">
    <cfRule type="dataBar" priority="2">
      <dataBar>
        <cfvo type="min"/>
        <cfvo type="max"/>
        <color theme="8" tint="0.59999389629810485"/>
      </dataBar>
      <extLst>
        <ext xmlns:x14="http://schemas.microsoft.com/office/spreadsheetml/2009/9/main" uri="{B025F937-C7B1-47D3-B67F-A62EFF666E3E}">
          <x14:id>{3A499D89-CEA7-48A2-A65E-EAA2AF9A4AA3}</x14:id>
        </ext>
      </extLst>
    </cfRule>
  </conditionalFormatting>
  <dataValidations count="6">
    <dataValidation allowBlank="1" showErrorMessage="1" sqref="C12:D30" xr:uid="{8C37F227-1758-44F1-9085-D49DD86F5D81}"/>
    <dataValidation allowBlank="1" showErrorMessage="1" prompt="If energy data is available for these typologies, enter it here. For any typologies where energy data is not available, CBECS data will be used for baseline information. " sqref="F12:F30" xr:uid="{9965BE61-15D5-487E-BEE7-4C41E3AA7384}"/>
    <dataValidation type="decimal" allowBlank="1" showInputMessage="1" showErrorMessage="1" prompt="Default = 30% space heating savings is possible from today's median usage for gas-using systems. _x000a_If appropriate, change to a different number between -100% and +100% savings. Negative numbers indicate space heating energy use increase. " sqref="G4:H4" xr:uid="{9D803B4D-09CC-4B60-9A5A-9D5CF9F8C390}">
      <formula1>-1</formula1>
      <formula2>1</formula2>
    </dataValidation>
    <dataValidation type="decimal" allowBlank="1" showInputMessage="1" showErrorMessage="1" prompt="Default = 30% overall electricity savings is possible from today's median usage._x000a_If appropriate, change to a different number between -100% and +100% savings. Negative numbers indicate electricity  energy use increase. " sqref="G3:H3" xr:uid="{EE69FA0C-B140-48F1-AFBB-A3DAF815D7DB}">
      <formula1>-1</formula1>
      <formula2>1</formula2>
    </dataValidation>
    <dataValidation type="decimal" allowBlank="1" showInputMessage="1" showErrorMessage="1" prompt="Default: 0%_x000a_How close the envelope retrofits are to Passive House (EnerPHit) requirements. Value of 0% is the EnerPhit target; value of 100% is double the EnerPhit allowance for space heating. _x000a_This input is only for the reduced consumption targets only. " sqref="C7:C8" xr:uid="{A69B6472-F697-4A22-932D-7962E61E4B1E}">
      <formula1>0</formula1>
      <formula2>1</formula2>
    </dataValidation>
    <dataValidation allowBlank="1" showInputMessage="1" showErrorMessage="1" prompt="source (page 7, figure 1): https://portfoliomanager.energystar.gov/pdf/reference/Emissions.pdf" sqref="Z3" xr:uid="{0101BD10-CAF9-407F-A967-7F300FF89252}"/>
  </dataValidations>
  <pageMargins left="0.25" right="0.25" top="0.75" bottom="0.75" header="0.3" footer="0.3"/>
  <pageSetup orientation="landscape" r:id="rId1"/>
  <legacyDrawing r:id="rId2"/>
  <extLst>
    <ext xmlns:x14="http://schemas.microsoft.com/office/spreadsheetml/2009/9/main" uri="{78C0D931-6437-407d-A8EE-F0AAD7539E65}">
      <x14:conditionalFormattings>
        <x14:conditionalFormatting xmlns:xm="http://schemas.microsoft.com/office/excel/2006/main">
          <x14:cfRule type="dataBar" id="{A8BD3E99-BBE2-4186-B0D3-284B7CC6835F}">
            <x14:dataBar minLength="0" maxLength="100" gradient="0" direction="leftToRight">
              <x14:cfvo type="autoMin"/>
              <x14:cfvo type="autoMax"/>
              <x14:negativeFillColor rgb="FFFF0000"/>
              <x14:axisColor rgb="FF000000"/>
            </x14:dataBar>
          </x14:cfRule>
          <xm:sqref>Z15:AB30</xm:sqref>
        </x14:conditionalFormatting>
        <x14:conditionalFormatting xmlns:xm="http://schemas.microsoft.com/office/excel/2006/main">
          <x14:cfRule type="dataBar" id="{8EE208BE-D1BA-40A1-8073-23346100ECEA}">
            <x14:dataBar minLength="0" maxLength="100" gradient="0">
              <x14:cfvo type="autoMin"/>
              <x14:cfvo type="autoMax"/>
              <x14:negativeFillColor rgb="FFFF0000"/>
              <x14:axisColor rgb="FF000000"/>
            </x14:dataBar>
          </x14:cfRule>
          <xm:sqref>AE15:AE30</xm:sqref>
        </x14:conditionalFormatting>
        <x14:conditionalFormatting xmlns:xm="http://schemas.microsoft.com/office/excel/2006/main">
          <x14:cfRule type="dataBar" id="{7FA09F6F-E5EC-4134-85CB-0F3C671E0563}">
            <x14:dataBar minLength="0" maxLength="100" gradient="0" direction="leftToRight">
              <x14:cfvo type="autoMin"/>
              <x14:cfvo type="autoMax"/>
              <x14:negativeFillColor rgb="FFFF0000"/>
              <x14:axisColor rgb="FF000000"/>
            </x14:dataBar>
          </x14:cfRule>
          <xm:sqref>Z12:AB14</xm:sqref>
        </x14:conditionalFormatting>
        <x14:conditionalFormatting xmlns:xm="http://schemas.microsoft.com/office/excel/2006/main">
          <x14:cfRule type="dataBar" id="{3A499D89-CEA7-48A2-A65E-EAA2AF9A4AA3}">
            <x14:dataBar minLength="0" maxLength="100" gradient="0">
              <x14:cfvo type="autoMin"/>
              <x14:cfvo type="autoMax"/>
              <x14:negativeFillColor rgb="FFFF0000"/>
              <x14:axisColor rgb="FF000000"/>
            </x14:dataBar>
          </x14:cfRule>
          <xm:sqref>AE12:AE14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xr:uid="{93501F33-F212-42B9-9BA2-122A431E19B8}">
          <x14:formula1>
            <xm:f>'Typology Baseline - climate adj'!$A$56:$A$57</xm:f>
          </x14:formula1>
          <xm:sqref>G12:H30</xm:sqref>
        </x14:dataValidation>
        <x14:dataValidation type="list" allowBlank="1" showInputMessage="1" showErrorMessage="1" xr:uid="{AE70A3A0-B963-4579-B675-95C9F14351D6}">
          <x14:formula1>
            <xm:f>'Typology Baseline - climate adj'!$A$4:$A$8</xm:f>
          </x14:formula1>
          <xm:sqref>C3</xm:sqref>
        </x14:dataValidation>
        <x14:dataValidation type="list" allowBlank="1" showInputMessage="1" showErrorMessage="1" prompt="The four core cities of this project have developed specific performance targets for multifamily, office, and hotel typologies. By selecting a proxy city (based on climate conditions), those typologies have the targets mapped to them for this city. " xr:uid="{2339A597-ADF3-4F24-A6F1-0FCD11FC7A30}">
          <x14:formula1>
            <xm:f>'GHG Coefficient Lookup'!$AD$3:$AD$6</xm:f>
          </x14:formula1>
          <xm:sqref>C4</xm:sqref>
        </x14:dataValidation>
      </x14:dataValidations>
    </ext>
    <ext xmlns:x14="http://schemas.microsoft.com/office/spreadsheetml/2009/9/main" uri="{05C60535-1F16-4fd2-B633-F4F36F0B64E0}">
      <x14:sparklineGroups xmlns:xm="http://schemas.microsoft.com/office/excel/2006/main">
        <x14:sparklineGroup manualMin="0" type="column" displayEmptyCellsAs="gap" markers="1" low="1" displayXAxis="1" minAxisType="custom" xr2:uid="{E2E61350-6201-4F00-8B97-F435207DF66C}">
          <x14:colorSeries theme="0" tint="-0.249977111117893"/>
          <x14:colorNegative theme="5"/>
          <x14:colorAxis rgb="FF000000"/>
          <x14:colorMarkers theme="1"/>
          <x14:colorFirst theme="4" tint="0.39997558519241921"/>
          <x14:colorLast theme="4" tint="0.39997558519241921"/>
          <x14:colorHigh theme="0" tint="-0.499984740745262"/>
          <x14:colorLow theme="4"/>
          <x14:sparklines>
            <x14:sparkline>
              <xm:f>NYC!AK12:AN12</xm:f>
              <xm:sqref>W12</xm:sqref>
            </x14:sparkline>
            <x14:sparkline>
              <xm:f>NYC!AK13:AN13</xm:f>
              <xm:sqref>W13</xm:sqref>
            </x14:sparkline>
            <x14:sparkline>
              <xm:f>NYC!AK14:AN14</xm:f>
              <xm:sqref>W14</xm:sqref>
            </x14:sparkline>
            <x14:sparkline>
              <xm:f>NYC!AK15:AN15</xm:f>
              <xm:sqref>W15</xm:sqref>
            </x14:sparkline>
            <x14:sparkline>
              <xm:f>NYC!AK16:AN16</xm:f>
              <xm:sqref>W16</xm:sqref>
            </x14:sparkline>
            <x14:sparkline>
              <xm:f>NYC!AK17:AN17</xm:f>
              <xm:sqref>W17</xm:sqref>
            </x14:sparkline>
            <x14:sparkline>
              <xm:f>NYC!AK18:AN18</xm:f>
              <xm:sqref>W18</xm:sqref>
            </x14:sparkline>
            <x14:sparkline>
              <xm:f>NYC!AK19:AN19</xm:f>
              <xm:sqref>W19</xm:sqref>
            </x14:sparkline>
            <x14:sparkline>
              <xm:f>NYC!AK20:AN20</xm:f>
              <xm:sqref>W20</xm:sqref>
            </x14:sparkline>
            <x14:sparkline>
              <xm:f>NYC!AK21:AN21</xm:f>
              <xm:sqref>W21</xm:sqref>
            </x14:sparkline>
            <x14:sparkline>
              <xm:f>NYC!AK22:AN22</xm:f>
              <xm:sqref>W22</xm:sqref>
            </x14:sparkline>
            <x14:sparkline>
              <xm:f>NYC!AK23:AN23</xm:f>
              <xm:sqref>W23</xm:sqref>
            </x14:sparkline>
            <x14:sparkline>
              <xm:f>NYC!AK24:AN24</xm:f>
              <xm:sqref>W24</xm:sqref>
            </x14:sparkline>
            <x14:sparkline>
              <xm:f>NYC!AK25:AN25</xm:f>
              <xm:sqref>W25</xm:sqref>
            </x14:sparkline>
            <x14:sparkline>
              <xm:f>NYC!AK26:AN26</xm:f>
              <xm:sqref>W26</xm:sqref>
            </x14:sparkline>
            <x14:sparkline>
              <xm:f>NYC!AK27:AN27</xm:f>
              <xm:sqref>W27</xm:sqref>
            </x14:sparkline>
            <x14:sparkline>
              <xm:f>NYC!AK28:AN28</xm:f>
              <xm:sqref>W28</xm:sqref>
            </x14:sparkline>
            <x14:sparkline>
              <xm:f>NYC!AK29:AN29</xm:f>
              <xm:sqref>W29</xm:sqref>
            </x14:sparkline>
            <x14:sparkline>
              <xm:f>NYC!AK30:AN30</xm:f>
              <xm:sqref>W30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173DB39A259C46A6E6216B66D7CBB0" ma:contentTypeVersion="13" ma:contentTypeDescription="Create a new document." ma:contentTypeScope="" ma:versionID="3aae6b77afe92bdb1b9b2dffbabb766c">
  <xsd:schema xmlns:xsd="http://www.w3.org/2001/XMLSchema" xmlns:xs="http://www.w3.org/2001/XMLSchema" xmlns:p="http://schemas.microsoft.com/office/2006/metadata/properties" xmlns:ns3="29c69dad-98c9-4f7b-9457-46a92371835d" xmlns:ns4="fbd3c411-d636-4f84-aadb-ef5a84eacd6f" targetNamespace="http://schemas.microsoft.com/office/2006/metadata/properties" ma:root="true" ma:fieldsID="f3030ec938fb147b455c4771ffda3ee2" ns3:_="" ns4:_="">
    <xsd:import namespace="29c69dad-98c9-4f7b-9457-46a92371835d"/>
    <xsd:import namespace="fbd3c411-d636-4f84-aadb-ef5a84eacd6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EventHashCode" minOccurs="0"/>
                <xsd:element ref="ns3:MediaServiceGenerationTime"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c69dad-98c9-4f7b-9457-46a9237183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bd3c411-d636-4f84-aadb-ef5a84eacd6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3782FA-4A9C-411D-8369-99C876715AF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office/infopath/2007/PartnerControls"/>
    <ds:schemaRef ds:uri="fbd3c411-d636-4f84-aadb-ef5a84eacd6f"/>
    <ds:schemaRef ds:uri="29c69dad-98c9-4f7b-9457-46a92371835d"/>
    <ds:schemaRef ds:uri="http://www.w3.org/XML/1998/namespace"/>
    <ds:schemaRef ds:uri="http://purl.org/dc/dcmitype/"/>
  </ds:schemaRefs>
</ds:datastoreItem>
</file>

<file path=customXml/itemProps2.xml><?xml version="1.0" encoding="utf-8"?>
<ds:datastoreItem xmlns:ds="http://schemas.openxmlformats.org/officeDocument/2006/customXml" ds:itemID="{E7396201-405A-44B0-8FA9-ED318C64CE6D}">
  <ds:schemaRefs>
    <ds:schemaRef ds:uri="http://schemas.microsoft.com/sharepoint/v3/contenttype/forms"/>
  </ds:schemaRefs>
</ds:datastoreItem>
</file>

<file path=customXml/itemProps3.xml><?xml version="1.0" encoding="utf-8"?>
<ds:datastoreItem xmlns:ds="http://schemas.openxmlformats.org/officeDocument/2006/customXml" ds:itemID="{574AE7AE-BA50-4556-83A8-A2A45E02F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c69dad-98c9-4f7b-9457-46a92371835d"/>
    <ds:schemaRef ds:uri="fbd3c411-d636-4f84-aadb-ef5a84eac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vt:i4>
      </vt:variant>
    </vt:vector>
  </HeadingPairs>
  <TitlesOfParts>
    <vt:vector size="32" baseType="lpstr">
      <vt:lpstr>CBECS-elec-subtypology</vt:lpstr>
      <vt:lpstr>CBECS-elec-geosubdiv</vt:lpstr>
      <vt:lpstr>CBECS-gas-geosubdiv</vt:lpstr>
      <vt:lpstr>Readme</vt:lpstr>
      <vt:lpstr>City Template</vt:lpstr>
      <vt:lpstr>Seattle</vt:lpstr>
      <vt:lpstr>DC</vt:lpstr>
      <vt:lpstr>Santa Mon</vt:lpstr>
      <vt:lpstr>NYC</vt:lpstr>
      <vt:lpstr>Seattle's Typologies</vt:lpstr>
      <vt:lpstr>REFERENCE TABS----------------&gt;</vt:lpstr>
      <vt:lpstr>Electrification of Gas End Uses</vt:lpstr>
      <vt:lpstr>Typology Baseline - climate adj</vt:lpstr>
      <vt:lpstr>HotelMFOffice Target comp</vt:lpstr>
      <vt:lpstr>MF-New-Tall</vt:lpstr>
      <vt:lpstr>MF-Old-Tall</vt:lpstr>
      <vt:lpstr>Hotel-Dorm-Lodging</vt:lpstr>
      <vt:lpstr>MF-Short</vt:lpstr>
      <vt:lpstr>Office</vt:lpstr>
      <vt:lpstr>CBECS-E4 - elec EUI</vt:lpstr>
      <vt:lpstr>CBECS E7 - gas EUI</vt:lpstr>
      <vt:lpstr>CBECS to EPA map</vt:lpstr>
      <vt:lpstr>RECS Microdata End Uses</vt:lpstr>
      <vt:lpstr>Rough cost estimates-spacehtg</vt:lpstr>
      <vt:lpstr>GHG Coefficient Lookup</vt:lpstr>
      <vt:lpstr>Core City Stats 2</vt:lpstr>
      <vt:lpstr>Core City Stats</vt:lpstr>
      <vt:lpstr>Typology Mapping</vt:lpstr>
      <vt:lpstr>Prev Seattle Targets ref</vt:lpstr>
      <vt:lpstr>'CBECS-elec-geosubdiv'!Print_Titles</vt:lpstr>
      <vt:lpstr>'CBECS-elec-subtypology'!Print_Titles</vt:lpstr>
      <vt:lpstr>'CBECS-gas-geosubdiv'!Print_Titles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2015-06-05T18:17:20Z</dcterms:created>
  <dcterms:modified xsi:type="dcterms:W3CDTF">2020-03-02T02:56:39Z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0x010100F8173DB39A259C46A6E6216B66D7CBB0</vt:lpwstr>
  </property>
</Properties>
</file>